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ЭтаКнига"/>
  <mc:AlternateContent xmlns:mc="http://schemas.openxmlformats.org/markup-compatibility/2006">
    <mc:Choice Requires="x15">
      <x15ac:absPath xmlns:x15ac="http://schemas.microsoft.com/office/spreadsheetml/2010/11/ac" url="C:\Users\Юлія\Desktop\"/>
    </mc:Choice>
  </mc:AlternateContent>
  <xr:revisionPtr revIDLastSave="0" documentId="13_ncr:1_{F55A4998-DAF8-426B-AB35-3F097123F520}" xr6:coauthVersionLast="47" xr6:coauthVersionMax="47" xr10:uidLastSave="{00000000-0000-0000-0000-000000000000}"/>
  <bookViews>
    <workbookView xWindow="-120" yWindow="-120" windowWidth="29040" windowHeight="15720" xr2:uid="{00000000-000D-0000-FFFF-FFFF00000000}"/>
  </bookViews>
  <sheets>
    <sheet name="КАЛЬКУЛЯТОР" sheetId="1" r:id="rId1"/>
    <sheet name="SYS" sheetId="2" state="hidden" r:id="rId2"/>
  </sheets>
  <definedNames>
    <definedName name="Z_4A3E60B2_3A41_4B7A_A9CB_F5CAF3E3C1DF_.wvu.Cols" localSheetId="0" hidden="1">КАЛЬКУЛЯТОР!$A:$H</definedName>
    <definedName name="Z_4A3E60B2_3A41_4B7A_A9CB_F5CAF3E3C1DF_.wvu.PrintArea" localSheetId="0" hidden="1">КАЛЬКУЛЯТОР!$A$1:$Z$152</definedName>
    <definedName name="_xlnm.Print_Area" localSheetId="0">КАЛЬКУЛЯТОР!$A$1:$Z$152</definedName>
  </definedNames>
  <calcPr calcId="191029"/>
  <customWorkbookViews>
    <customWorkbookView name="VVO - Личное представление" guid="{4A3E60B2-3A41-4B7A-A9CB-F5CAF3E3C1DF}" mergeInterval="0" personalView="1" maximized="1" windowWidth="1920" windowHeight="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 l="1"/>
  <c r="G3" i="2" s="1"/>
  <c r="AE26" i="2" s="1"/>
  <c r="D16" i="1"/>
  <c r="D15" i="1"/>
  <c r="D14" i="1"/>
  <c r="I15" i="1" l="1"/>
  <c r="L22" i="1"/>
  <c r="E16" i="1"/>
  <c r="B32" i="1" l="1"/>
  <c r="H34" i="1" l="1"/>
  <c r="T34" i="1" s="1"/>
  <c r="H35" i="1"/>
  <c r="Q35" i="1" s="1"/>
  <c r="H36" i="1"/>
  <c r="Q36" i="1" s="1"/>
  <c r="H37" i="1"/>
  <c r="T37" i="1" s="1"/>
  <c r="H38" i="1"/>
  <c r="Q38" i="1" s="1"/>
  <c r="H39" i="1"/>
  <c r="T39" i="1" s="1"/>
  <c r="H40" i="1"/>
  <c r="R40" i="1" s="1"/>
  <c r="H41" i="1"/>
  <c r="O41" i="1" s="1"/>
  <c r="H42" i="1"/>
  <c r="T42" i="1" s="1"/>
  <c r="H43" i="1"/>
  <c r="T43" i="1" s="1"/>
  <c r="H44" i="1"/>
  <c r="R44" i="1" s="1"/>
  <c r="H45" i="1"/>
  <c r="S45" i="1" s="1"/>
  <c r="H46" i="1"/>
  <c r="H47" i="1"/>
  <c r="H48" i="1"/>
  <c r="H49" i="1"/>
  <c r="H50" i="1"/>
  <c r="H51" i="1"/>
  <c r="H52" i="1"/>
  <c r="H53" i="1"/>
  <c r="O53" i="1" s="1"/>
  <c r="H54" i="1"/>
  <c r="H55" i="1"/>
  <c r="H56" i="1"/>
  <c r="H57" i="1"/>
  <c r="H58" i="1"/>
  <c r="H59" i="1"/>
  <c r="H60" i="1"/>
  <c r="H61" i="1"/>
  <c r="Q61" i="1" s="1"/>
  <c r="H62" i="1"/>
  <c r="H63" i="1"/>
  <c r="H64" i="1"/>
  <c r="H65" i="1"/>
  <c r="H66" i="1"/>
  <c r="H67" i="1"/>
  <c r="H68" i="1"/>
  <c r="H69" i="1"/>
  <c r="R69" i="1" s="1"/>
  <c r="H70" i="1"/>
  <c r="H71" i="1"/>
  <c r="H72" i="1"/>
  <c r="H73" i="1"/>
  <c r="H74" i="1"/>
  <c r="H75" i="1"/>
  <c r="H76" i="1"/>
  <c r="H77" i="1"/>
  <c r="S77" i="1" s="1"/>
  <c r="H78" i="1"/>
  <c r="H79" i="1"/>
  <c r="H80" i="1"/>
  <c r="H81" i="1"/>
  <c r="H82" i="1"/>
  <c r="H83" i="1"/>
  <c r="H84" i="1"/>
  <c r="H85" i="1"/>
  <c r="S85" i="1" s="1"/>
  <c r="H86" i="1"/>
  <c r="H87" i="1"/>
  <c r="H88" i="1"/>
  <c r="H89" i="1"/>
  <c r="H90" i="1"/>
  <c r="H91" i="1"/>
  <c r="H92" i="1"/>
  <c r="H93" i="1"/>
  <c r="T93" i="1" s="1"/>
  <c r="H94" i="1"/>
  <c r="H95" i="1"/>
  <c r="H96" i="1"/>
  <c r="H97" i="1"/>
  <c r="H98" i="1"/>
  <c r="H99" i="1"/>
  <c r="H100" i="1"/>
  <c r="H101" i="1"/>
  <c r="S101" i="1" s="1"/>
  <c r="H102" i="1"/>
  <c r="H103" i="1"/>
  <c r="H104" i="1"/>
  <c r="H105" i="1"/>
  <c r="H106" i="1"/>
  <c r="H107" i="1"/>
  <c r="H108" i="1"/>
  <c r="H109" i="1"/>
  <c r="T109" i="1" s="1"/>
  <c r="H110" i="1"/>
  <c r="P110" i="1" s="1"/>
  <c r="H111" i="1"/>
  <c r="H112" i="1"/>
  <c r="H113" i="1"/>
  <c r="H114" i="1"/>
  <c r="H115" i="1"/>
  <c r="H116" i="1"/>
  <c r="H117" i="1"/>
  <c r="R117" i="1" s="1"/>
  <c r="H118" i="1"/>
  <c r="H119" i="1"/>
  <c r="H120" i="1"/>
  <c r="H121" i="1"/>
  <c r="H122" i="1"/>
  <c r="H123" i="1"/>
  <c r="H124" i="1"/>
  <c r="H125" i="1"/>
  <c r="C125" i="1" s="1"/>
  <c r="H126" i="1"/>
  <c r="H127" i="1"/>
  <c r="H128" i="1"/>
  <c r="H129" i="1"/>
  <c r="H130" i="1"/>
  <c r="H131" i="1"/>
  <c r="H132" i="1"/>
  <c r="H133" i="1"/>
  <c r="K133" i="1" s="1"/>
  <c r="H134" i="1"/>
  <c r="P134" i="1" s="1"/>
  <c r="H135" i="1"/>
  <c r="H136" i="1"/>
  <c r="H137" i="1"/>
  <c r="H138" i="1"/>
  <c r="H139" i="1"/>
  <c r="H140" i="1"/>
  <c r="H141" i="1"/>
  <c r="D141" i="1" s="1"/>
  <c r="H142" i="1"/>
  <c r="H143" i="1"/>
  <c r="H144" i="1"/>
  <c r="H145" i="1"/>
  <c r="H146" i="1"/>
  <c r="H147" i="1"/>
  <c r="H148" i="1"/>
  <c r="H149" i="1"/>
  <c r="D149" i="1" s="1"/>
  <c r="H150" i="1"/>
  <c r="H151" i="1"/>
  <c r="H152" i="1"/>
  <c r="H33" i="1"/>
  <c r="J32" i="1"/>
  <c r="F33" i="1" s="1"/>
  <c r="H4" i="2"/>
  <c r="S133" i="1" l="1"/>
  <c r="C133" i="1"/>
  <c r="R37" i="1"/>
  <c r="R85" i="1"/>
  <c r="Q85" i="1"/>
  <c r="R109" i="1"/>
  <c r="D133" i="1"/>
  <c r="P150" i="1"/>
  <c r="P126" i="1"/>
  <c r="O37" i="1"/>
  <c r="O85" i="1"/>
  <c r="T61" i="1"/>
  <c r="K109" i="1"/>
  <c r="Q109" i="1"/>
  <c r="T85" i="1"/>
  <c r="Z38" i="1"/>
  <c r="Q37" i="1"/>
  <c r="K93" i="1"/>
  <c r="S93" i="1"/>
  <c r="S53" i="1"/>
  <c r="O61" i="1"/>
  <c r="C141" i="1"/>
  <c r="K141" i="1"/>
  <c r="I93" i="1"/>
  <c r="C93" i="1"/>
  <c r="S149" i="1"/>
  <c r="R141" i="1"/>
  <c r="D125" i="1"/>
  <c r="R149" i="1"/>
  <c r="T69" i="1"/>
  <c r="Q93" i="1"/>
  <c r="T53" i="1"/>
  <c r="R93" i="1"/>
  <c r="O117" i="1"/>
  <c r="D93" i="1"/>
  <c r="O93" i="1"/>
  <c r="R61" i="1"/>
  <c r="S37" i="1"/>
  <c r="S69" i="1"/>
  <c r="D101" i="1"/>
  <c r="O77" i="1"/>
  <c r="I125" i="1"/>
  <c r="R77" i="1"/>
  <c r="Q53" i="1"/>
  <c r="Q77" i="1"/>
  <c r="C101" i="1"/>
  <c r="R101" i="1"/>
  <c r="K101" i="1"/>
  <c r="K117" i="1"/>
  <c r="R53" i="1"/>
  <c r="K125" i="1"/>
  <c r="P118" i="1"/>
  <c r="O33" i="1"/>
  <c r="P152" i="1"/>
  <c r="P144" i="1"/>
  <c r="P136" i="1"/>
  <c r="P128" i="1"/>
  <c r="P120" i="1"/>
  <c r="P112" i="1"/>
  <c r="P104" i="1"/>
  <c r="P96" i="1"/>
  <c r="P146" i="1"/>
  <c r="P138" i="1"/>
  <c r="P130" i="1"/>
  <c r="P122" i="1"/>
  <c r="P114" i="1"/>
  <c r="P106" i="1"/>
  <c r="P98" i="1"/>
  <c r="P124" i="1"/>
  <c r="P116" i="1"/>
  <c r="P108" i="1"/>
  <c r="P100" i="1"/>
  <c r="J148" i="1"/>
  <c r="P148" i="1"/>
  <c r="P145" i="1"/>
  <c r="P137" i="1"/>
  <c r="P129" i="1"/>
  <c r="P121" i="1"/>
  <c r="P113" i="1"/>
  <c r="P105" i="1"/>
  <c r="P97" i="1"/>
  <c r="Q72" i="1"/>
  <c r="P151" i="1"/>
  <c r="P143" i="1"/>
  <c r="P135" i="1"/>
  <c r="P127" i="1"/>
  <c r="P119" i="1"/>
  <c r="P111" i="1"/>
  <c r="P103" i="1"/>
  <c r="P95" i="1"/>
  <c r="J142" i="1"/>
  <c r="P142" i="1"/>
  <c r="S102" i="1"/>
  <c r="P102" i="1"/>
  <c r="J94" i="1"/>
  <c r="P94" i="1"/>
  <c r="O54" i="1"/>
  <c r="Q46" i="1"/>
  <c r="P149" i="1"/>
  <c r="P141" i="1"/>
  <c r="P133" i="1"/>
  <c r="P125" i="1"/>
  <c r="P117" i="1"/>
  <c r="P109" i="1"/>
  <c r="P101" i="1"/>
  <c r="Z60" i="1"/>
  <c r="J132" i="1"/>
  <c r="P132" i="1"/>
  <c r="P147" i="1"/>
  <c r="P139" i="1"/>
  <c r="P131" i="1"/>
  <c r="P123" i="1"/>
  <c r="P115" i="1"/>
  <c r="P107" i="1"/>
  <c r="P99" i="1"/>
  <c r="J140" i="1"/>
  <c r="P140" i="1"/>
  <c r="O74" i="1"/>
  <c r="J124" i="1"/>
  <c r="J108" i="1"/>
  <c r="J152" i="1"/>
  <c r="J144" i="1"/>
  <c r="J136" i="1"/>
  <c r="Q34" i="1"/>
  <c r="J147" i="1"/>
  <c r="J131" i="1"/>
  <c r="T139" i="1"/>
  <c r="J139" i="1"/>
  <c r="K145" i="1"/>
  <c r="J145" i="1"/>
  <c r="Q137" i="1"/>
  <c r="J137" i="1"/>
  <c r="O129" i="1"/>
  <c r="J129" i="1"/>
  <c r="J121" i="1"/>
  <c r="O113" i="1"/>
  <c r="J113" i="1"/>
  <c r="D105" i="1"/>
  <c r="J105" i="1"/>
  <c r="J97" i="1"/>
  <c r="O57" i="1"/>
  <c r="J128" i="1"/>
  <c r="T120" i="1"/>
  <c r="J120" i="1"/>
  <c r="J112" i="1"/>
  <c r="K104" i="1"/>
  <c r="J104" i="1"/>
  <c r="R96" i="1"/>
  <c r="J96" i="1"/>
  <c r="S88" i="1"/>
  <c r="Q64" i="1"/>
  <c r="O56" i="1"/>
  <c r="T48" i="1"/>
  <c r="Q151" i="1"/>
  <c r="J151" i="1"/>
  <c r="C127" i="1"/>
  <c r="J127" i="1"/>
  <c r="S95" i="1"/>
  <c r="J95" i="1"/>
  <c r="T87" i="1"/>
  <c r="T79" i="1"/>
  <c r="S71" i="1"/>
  <c r="R55" i="1"/>
  <c r="O143" i="1"/>
  <c r="J143" i="1"/>
  <c r="C135" i="1"/>
  <c r="J135" i="1"/>
  <c r="T111" i="1"/>
  <c r="J111" i="1"/>
  <c r="K150" i="1"/>
  <c r="J150" i="1"/>
  <c r="O134" i="1"/>
  <c r="J134" i="1"/>
  <c r="K126" i="1"/>
  <c r="J126" i="1"/>
  <c r="T118" i="1"/>
  <c r="J118" i="1"/>
  <c r="R110" i="1"/>
  <c r="J110" i="1"/>
  <c r="D102" i="1"/>
  <c r="J102" i="1"/>
  <c r="O78" i="1"/>
  <c r="S62" i="1"/>
  <c r="S54" i="1"/>
  <c r="T46" i="1"/>
  <c r="I119" i="1"/>
  <c r="J119" i="1"/>
  <c r="R103" i="1"/>
  <c r="J103" i="1"/>
  <c r="K149" i="1"/>
  <c r="J149" i="1"/>
  <c r="Q141" i="1"/>
  <c r="J141" i="1"/>
  <c r="T133" i="1"/>
  <c r="J133" i="1"/>
  <c r="S125" i="1"/>
  <c r="J125" i="1"/>
  <c r="C117" i="1"/>
  <c r="J117" i="1"/>
  <c r="D109" i="1"/>
  <c r="J109" i="1"/>
  <c r="J101" i="1"/>
  <c r="J93" i="1"/>
  <c r="O69" i="1"/>
  <c r="S61" i="1"/>
  <c r="K116" i="1"/>
  <c r="J116" i="1"/>
  <c r="R100" i="1"/>
  <c r="J100" i="1"/>
  <c r="R52" i="1"/>
  <c r="D123" i="1"/>
  <c r="J123" i="1"/>
  <c r="O115" i="1"/>
  <c r="J115" i="1"/>
  <c r="I107" i="1"/>
  <c r="J107" i="1"/>
  <c r="S99" i="1"/>
  <c r="J99" i="1"/>
  <c r="Q83" i="1"/>
  <c r="T67" i="1"/>
  <c r="T59" i="1"/>
  <c r="S51" i="1"/>
  <c r="K146" i="1"/>
  <c r="J146" i="1"/>
  <c r="O138" i="1"/>
  <c r="J138" i="1"/>
  <c r="T130" i="1"/>
  <c r="J130" i="1"/>
  <c r="O122" i="1"/>
  <c r="J122" i="1"/>
  <c r="Q114" i="1"/>
  <c r="J114" i="1"/>
  <c r="K106" i="1"/>
  <c r="J106" i="1"/>
  <c r="R98" i="1"/>
  <c r="J98" i="1"/>
  <c r="Q90" i="1"/>
  <c r="T74" i="1"/>
  <c r="T58" i="1"/>
  <c r="R50" i="1"/>
  <c r="O46" i="1"/>
  <c r="O34" i="1"/>
  <c r="Z80" i="1"/>
  <c r="S72" i="1"/>
  <c r="S56" i="1"/>
  <c r="R72" i="1"/>
  <c r="Z96" i="1"/>
  <c r="R133" i="1"/>
  <c r="O149" i="1"/>
  <c r="T103" i="1"/>
  <c r="O141" i="1"/>
  <c r="I117" i="1"/>
  <c r="Q149" i="1"/>
  <c r="Z61" i="1"/>
  <c r="S117" i="1"/>
  <c r="R125" i="1"/>
  <c r="I149" i="1"/>
  <c r="K103" i="1"/>
  <c r="Q103" i="1"/>
  <c r="O42" i="1"/>
  <c r="Z88" i="1"/>
  <c r="Y46" i="1"/>
  <c r="C95" i="1"/>
  <c r="D96" i="1"/>
  <c r="Q54" i="1"/>
  <c r="T90" i="1"/>
  <c r="O72" i="1"/>
  <c r="Z52" i="1"/>
  <c r="Y80" i="1"/>
  <c r="Y111" i="1"/>
  <c r="Z42" i="1"/>
  <c r="Q71" i="1"/>
  <c r="Q68" i="1"/>
  <c r="K95" i="1"/>
  <c r="S46" i="1"/>
  <c r="Z150" i="1"/>
  <c r="O75" i="1"/>
  <c r="Z68" i="1"/>
  <c r="R59" i="1"/>
  <c r="Q138" i="1"/>
  <c r="R83" i="1"/>
  <c r="R115" i="1"/>
  <c r="Q130" i="1"/>
  <c r="Y43" i="1"/>
  <c r="Q96" i="1"/>
  <c r="T71" i="1"/>
  <c r="R95" i="1"/>
  <c r="K120" i="1"/>
  <c r="K139" i="1"/>
  <c r="M135" i="1"/>
  <c r="K147" i="1"/>
  <c r="Q92" i="1"/>
  <c r="R82" i="1"/>
  <c r="C143" i="1"/>
  <c r="Y94" i="1"/>
  <c r="O79" i="1"/>
  <c r="Q91" i="1"/>
  <c r="Y124" i="1"/>
  <c r="M116" i="1"/>
  <c r="D139" i="1"/>
  <c r="Q104" i="1"/>
  <c r="O109" i="1"/>
  <c r="C106" i="1"/>
  <c r="I95" i="1"/>
  <c r="Q69" i="1"/>
  <c r="Q133" i="1"/>
  <c r="C119" i="1"/>
  <c r="O133" i="1"/>
  <c r="L150" i="1"/>
  <c r="N142" i="1"/>
  <c r="L126" i="1"/>
  <c r="L110" i="1"/>
  <c r="L94" i="1"/>
  <c r="Z62" i="1"/>
  <c r="Z54" i="1"/>
  <c r="B38" i="1"/>
  <c r="K118" i="1"/>
  <c r="Y44" i="1"/>
  <c r="R43" i="1"/>
  <c r="N102" i="1"/>
  <c r="N111" i="1"/>
  <c r="I99" i="1"/>
  <c r="T62" i="1"/>
  <c r="S130" i="1"/>
  <c r="S138" i="1"/>
  <c r="R54" i="1"/>
  <c r="N136" i="1"/>
  <c r="Z92" i="1"/>
  <c r="Q51" i="1"/>
  <c r="M101" i="1"/>
  <c r="N100" i="1"/>
  <c r="Q84" i="1"/>
  <c r="Q62" i="1"/>
  <c r="O118" i="1"/>
  <c r="S42" i="1"/>
  <c r="Q110" i="1"/>
  <c r="S111" i="1"/>
  <c r="T102" i="1"/>
  <c r="T80" i="1"/>
  <c r="K102" i="1"/>
  <c r="K127" i="1"/>
  <c r="Y36" i="1"/>
  <c r="Q80" i="1"/>
  <c r="N134" i="1"/>
  <c r="R75" i="1"/>
  <c r="N150" i="1"/>
  <c r="M127" i="1"/>
  <c r="Y60" i="1"/>
  <c r="C151" i="1"/>
  <c r="Z43" i="1"/>
  <c r="Z119" i="1"/>
  <c r="S146" i="1"/>
  <c r="S82" i="1"/>
  <c r="Q75" i="1"/>
  <c r="O76" i="1"/>
  <c r="O120" i="1"/>
  <c r="K115" i="1"/>
  <c r="Q88" i="1"/>
  <c r="Z102" i="1"/>
  <c r="R62" i="1"/>
  <c r="I143" i="1"/>
  <c r="S74" i="1"/>
  <c r="Y99" i="1"/>
  <c r="O64" i="1"/>
  <c r="K111" i="1"/>
  <c r="N120" i="1"/>
  <c r="Z139" i="1"/>
  <c r="O95" i="1"/>
  <c r="Y103" i="1"/>
  <c r="R79" i="1"/>
  <c r="Q111" i="1"/>
  <c r="S66" i="1"/>
  <c r="C130" i="1"/>
  <c r="S151" i="1"/>
  <c r="N144" i="1"/>
  <c r="K135" i="1"/>
  <c r="Y123" i="1"/>
  <c r="M111" i="1"/>
  <c r="R71" i="1"/>
  <c r="I138" i="1"/>
  <c r="O71" i="1"/>
  <c r="T127" i="1"/>
  <c r="K143" i="1"/>
  <c r="Q100" i="1"/>
  <c r="S39" i="1"/>
  <c r="D127" i="1"/>
  <c r="N135" i="1"/>
  <c r="Y39" i="1"/>
  <c r="R119" i="1"/>
  <c r="S50" i="1"/>
  <c r="Y88" i="1"/>
  <c r="O103" i="1"/>
  <c r="M96" i="1"/>
  <c r="D119" i="1"/>
  <c r="M123" i="1"/>
  <c r="D95" i="1"/>
  <c r="D135" i="1"/>
  <c r="K98" i="1"/>
  <c r="Q82" i="1"/>
  <c r="Y76" i="1"/>
  <c r="Y122" i="1"/>
  <c r="M148" i="1"/>
  <c r="Z39" i="1"/>
  <c r="C134" i="1"/>
  <c r="M119" i="1"/>
  <c r="L131" i="1"/>
  <c r="L123" i="1"/>
  <c r="L107" i="1"/>
  <c r="Y35" i="1"/>
  <c r="AG32" i="2"/>
  <c r="AP32" i="2" s="1"/>
  <c r="AG43" i="2"/>
  <c r="AM43" i="2" s="1"/>
  <c r="AG34" i="2"/>
  <c r="AV34" i="2" s="1"/>
  <c r="AG33" i="2"/>
  <c r="AM33" i="2" s="1"/>
  <c r="AG46" i="2"/>
  <c r="AJ46" i="2" s="1"/>
  <c r="AG24" i="2"/>
  <c r="AL24" i="2" s="1"/>
  <c r="AG26" i="2"/>
  <c r="AL26" i="2" s="1"/>
  <c r="AG44" i="2"/>
  <c r="AN44" i="2" s="1"/>
  <c r="AG47" i="2"/>
  <c r="AQ47" i="2" s="1"/>
  <c r="AG40" i="2"/>
  <c r="AM40" i="2" s="1"/>
  <c r="AG31" i="2"/>
  <c r="AI31" i="2" s="1"/>
  <c r="AG50" i="2"/>
  <c r="AY50" i="2" s="1"/>
  <c r="AG48" i="2"/>
  <c r="AX48" i="2" s="1"/>
  <c r="AG19" i="2"/>
  <c r="AI19" i="2" s="1"/>
  <c r="AG35" i="2"/>
  <c r="AI35" i="2" s="1"/>
  <c r="AG38" i="2"/>
  <c r="AW38" i="2" s="1"/>
  <c r="AG49" i="2"/>
  <c r="AO49" i="2" s="1"/>
  <c r="AG45" i="2"/>
  <c r="AL45" i="2" s="1"/>
  <c r="D100" i="1"/>
  <c r="C102" i="1"/>
  <c r="C150" i="1"/>
  <c r="Y92" i="1"/>
  <c r="Y91" i="1"/>
  <c r="O67" i="1"/>
  <c r="I102" i="1"/>
  <c r="Q43" i="1"/>
  <c r="Y68" i="1"/>
  <c r="T110" i="1"/>
  <c r="T82" i="1"/>
  <c r="K107" i="1"/>
  <c r="Q76" i="1"/>
  <c r="M100" i="1"/>
  <c r="Z118" i="1"/>
  <c r="S139" i="1"/>
  <c r="M143" i="1"/>
  <c r="T107" i="1"/>
  <c r="S43" i="1"/>
  <c r="Q67" i="1"/>
  <c r="Z91" i="1"/>
  <c r="Q122" i="1"/>
  <c r="O98" i="1"/>
  <c r="S35" i="1"/>
  <c r="O83" i="1"/>
  <c r="N110" i="1"/>
  <c r="S52" i="1"/>
  <c r="T88" i="1"/>
  <c r="K123" i="1"/>
  <c r="K134" i="1"/>
  <c r="Q60" i="1"/>
  <c r="Z115" i="1"/>
  <c r="Q118" i="1"/>
  <c r="D122" i="1"/>
  <c r="O43" i="1"/>
  <c r="T35" i="1"/>
  <c r="Q59" i="1"/>
  <c r="D106" i="1"/>
  <c r="O50" i="1"/>
  <c r="C138" i="1"/>
  <c r="R35" i="1"/>
  <c r="Z77" i="1"/>
  <c r="S126" i="1"/>
  <c r="T38" i="1"/>
  <c r="C126" i="1"/>
  <c r="Y100" i="1"/>
  <c r="R107" i="1"/>
  <c r="Z53" i="1"/>
  <c r="R113" i="1"/>
  <c r="Q33" i="1"/>
  <c r="T129" i="1"/>
  <c r="Q113" i="1"/>
  <c r="D134" i="1"/>
  <c r="R134" i="1"/>
  <c r="I135" i="1"/>
  <c r="Y118" i="1"/>
  <c r="N152" i="1"/>
  <c r="Q121" i="1"/>
  <c r="N138" i="1"/>
  <c r="I105" i="1"/>
  <c r="D121" i="1"/>
  <c r="C105" i="1"/>
  <c r="N106" i="1"/>
  <c r="T142" i="1"/>
  <c r="C123" i="1"/>
  <c r="R105" i="1"/>
  <c r="K121" i="1"/>
  <c r="D146" i="1"/>
  <c r="R91" i="1"/>
  <c r="Y75" i="1"/>
  <c r="O110" i="1"/>
  <c r="S76" i="1"/>
  <c r="Z121" i="1"/>
  <c r="I137" i="1"/>
  <c r="Z140" i="1"/>
  <c r="I113" i="1"/>
  <c r="O145" i="1"/>
  <c r="C113" i="1"/>
  <c r="D145" i="1"/>
  <c r="M122" i="1"/>
  <c r="AG17" i="2"/>
  <c r="AL17" i="2" s="1"/>
  <c r="AG42" i="2"/>
  <c r="AM42" i="2" s="1"/>
  <c r="AG36" i="2"/>
  <c r="AO36" i="2" s="1"/>
  <c r="AG39" i="2"/>
  <c r="AM39" i="2" s="1"/>
  <c r="AG37" i="2"/>
  <c r="AS37" i="2" s="1"/>
  <c r="AG41" i="2"/>
  <c r="AM41" i="2" s="1"/>
  <c r="R135" i="1"/>
  <c r="K131" i="1"/>
  <c r="K100" i="1"/>
  <c r="K110" i="1"/>
  <c r="K151" i="1"/>
  <c r="Q52" i="1"/>
  <c r="C100" i="1"/>
  <c r="Q56" i="1"/>
  <c r="M118" i="1"/>
  <c r="Z126" i="1"/>
  <c r="I118" i="1"/>
  <c r="O62" i="1"/>
  <c r="C118" i="1"/>
  <c r="D103" i="1"/>
  <c r="Q127" i="1"/>
  <c r="Y59" i="1"/>
  <c r="S75" i="1"/>
  <c r="T95" i="1"/>
  <c r="T135" i="1"/>
  <c r="Z35" i="1"/>
  <c r="Q115" i="1"/>
  <c r="D111" i="1"/>
  <c r="T122" i="1"/>
  <c r="I111" i="1"/>
  <c r="I123" i="1"/>
  <c r="O130" i="1"/>
  <c r="M103" i="1"/>
  <c r="S34" i="1"/>
  <c r="O90" i="1"/>
  <c r="O59" i="1"/>
  <c r="C115" i="1"/>
  <c r="Z111" i="1"/>
  <c r="Q107" i="1"/>
  <c r="R39" i="1"/>
  <c r="Z37" i="1"/>
  <c r="S103" i="1"/>
  <c r="C110" i="1"/>
  <c r="C142" i="1"/>
  <c r="S143" i="1"/>
  <c r="I98" i="1"/>
  <c r="S96" i="1"/>
  <c r="T40" i="1"/>
  <c r="O44" i="1"/>
  <c r="Y37" i="1"/>
  <c r="Z122" i="1"/>
  <c r="Z49" i="1"/>
  <c r="Q95" i="1"/>
  <c r="R123" i="1"/>
  <c r="D99" i="1"/>
  <c r="I139" i="1"/>
  <c r="Q147" i="1"/>
  <c r="N103" i="1"/>
  <c r="Z143" i="1"/>
  <c r="Q39" i="1"/>
  <c r="K99" i="1"/>
  <c r="K142" i="1"/>
  <c r="K119" i="1"/>
  <c r="K96" i="1"/>
  <c r="C96" i="1"/>
  <c r="S135" i="1"/>
  <c r="O102" i="1"/>
  <c r="S118" i="1"/>
  <c r="R111" i="1"/>
  <c r="C103" i="1"/>
  <c r="Y143" i="1"/>
  <c r="Y84" i="1"/>
  <c r="R34" i="1"/>
  <c r="Q42" i="1"/>
  <c r="C98" i="1"/>
  <c r="K130" i="1"/>
  <c r="T126" i="1"/>
  <c r="N122" i="1"/>
  <c r="M99" i="1"/>
  <c r="N96" i="1"/>
  <c r="Z101" i="1"/>
  <c r="O147" i="1"/>
  <c r="N101" i="1"/>
  <c r="O38" i="1"/>
  <c r="S134" i="1"/>
  <c r="Y102" i="1"/>
  <c r="Y42" i="1"/>
  <c r="T44" i="1"/>
  <c r="Y85" i="1"/>
  <c r="C147" i="1"/>
  <c r="Y83" i="1"/>
  <c r="S68" i="1"/>
  <c r="O68" i="1"/>
  <c r="M132" i="1"/>
  <c r="D147" i="1"/>
  <c r="R139" i="1"/>
  <c r="O139" i="1"/>
  <c r="Z127" i="1"/>
  <c r="Y107" i="1"/>
  <c r="Z67" i="1"/>
  <c r="Y135" i="1"/>
  <c r="T115" i="1"/>
  <c r="N146" i="1"/>
  <c r="Y126" i="1"/>
  <c r="S83" i="1"/>
  <c r="S147" i="1"/>
  <c r="Z105" i="1"/>
  <c r="D113" i="1"/>
  <c r="I129" i="1"/>
  <c r="D137" i="1"/>
  <c r="Q98" i="1"/>
  <c r="Z146" i="1"/>
  <c r="Z84" i="1"/>
  <c r="S59" i="1"/>
  <c r="T75" i="1"/>
  <c r="M139" i="1"/>
  <c r="S38" i="1"/>
  <c r="Q126" i="1"/>
  <c r="S142" i="1"/>
  <c r="Q139" i="1"/>
  <c r="T36" i="1"/>
  <c r="I146" i="1"/>
  <c r="S100" i="1"/>
  <c r="I130" i="1"/>
  <c r="S49" i="1"/>
  <c r="C137" i="1"/>
  <c r="T84" i="1"/>
  <c r="S113" i="1"/>
  <c r="T52" i="1"/>
  <c r="S60" i="1"/>
  <c r="M130" i="1"/>
  <c r="Q105" i="1"/>
  <c r="K113" i="1"/>
  <c r="K137" i="1"/>
  <c r="S123" i="1"/>
  <c r="Q99" i="1"/>
  <c r="R99" i="1"/>
  <c r="R142" i="1"/>
  <c r="D110" i="1"/>
  <c r="M142" i="1"/>
  <c r="C139" i="1"/>
  <c r="T60" i="1"/>
  <c r="S129" i="1"/>
  <c r="R74" i="1"/>
  <c r="R76" i="1"/>
  <c r="Y61" i="1"/>
  <c r="L151" i="1"/>
  <c r="L143" i="1"/>
  <c r="L135" i="1"/>
  <c r="L127" i="1"/>
  <c r="L119" i="1"/>
  <c r="L111" i="1"/>
  <c r="L103" i="1"/>
  <c r="L95" i="1"/>
  <c r="I121" i="1"/>
  <c r="R129" i="1"/>
  <c r="I145" i="1"/>
  <c r="I33" i="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T145" i="1"/>
  <c r="T121" i="1"/>
  <c r="Q145" i="1"/>
  <c r="S145" i="1"/>
  <c r="M146" i="1"/>
  <c r="R147" i="1"/>
  <c r="T91" i="1"/>
  <c r="Z83" i="1"/>
  <c r="S115" i="1"/>
  <c r="O99" i="1"/>
  <c r="K105" i="1"/>
  <c r="R121" i="1"/>
  <c r="D129" i="1"/>
  <c r="R145" i="1"/>
  <c r="Y33" i="1"/>
  <c r="S106" i="1"/>
  <c r="N130" i="1"/>
  <c r="C146" i="1"/>
  <c r="S90" i="1"/>
  <c r="O123" i="1"/>
  <c r="T123" i="1"/>
  <c r="D130" i="1"/>
  <c r="Z36" i="1"/>
  <c r="S110" i="1"/>
  <c r="M134" i="1"/>
  <c r="Q119" i="1"/>
  <c r="T147" i="1"/>
  <c r="S127" i="1"/>
  <c r="Z130" i="1"/>
  <c r="R106" i="1"/>
  <c r="C121" i="1"/>
  <c r="K129" i="1"/>
  <c r="C145" i="1"/>
  <c r="T33" i="1"/>
  <c r="M106" i="1"/>
  <c r="S121" i="1"/>
  <c r="Y113" i="1"/>
  <c r="O105" i="1"/>
  <c r="R137" i="1"/>
  <c r="L130" i="1"/>
  <c r="L122" i="1"/>
  <c r="L98" i="1"/>
  <c r="R143" i="1"/>
  <c r="T143" i="1"/>
  <c r="R126" i="1"/>
  <c r="O111" i="1"/>
  <c r="S98" i="1"/>
  <c r="Q106" i="1"/>
  <c r="Q146" i="1"/>
  <c r="D126" i="1"/>
  <c r="N119" i="1"/>
  <c r="S119" i="1"/>
  <c r="S122" i="1"/>
  <c r="D138" i="1"/>
  <c r="O91" i="1"/>
  <c r="N99" i="1"/>
  <c r="D143" i="1"/>
  <c r="S91" i="1"/>
  <c r="D115" i="1"/>
  <c r="R67" i="1"/>
  <c r="Q135" i="1"/>
  <c r="Z76" i="1"/>
  <c r="S67" i="1"/>
  <c r="S131" i="1"/>
  <c r="O126" i="1"/>
  <c r="T119" i="1"/>
  <c r="R118" i="1"/>
  <c r="T68" i="1"/>
  <c r="I103" i="1"/>
  <c r="T98" i="1"/>
  <c r="O36" i="1"/>
  <c r="R38" i="1"/>
  <c r="L145" i="1"/>
  <c r="T137" i="1"/>
  <c r="L137" i="1"/>
  <c r="C129" i="1"/>
  <c r="L129" i="1"/>
  <c r="L121" i="1"/>
  <c r="T113" i="1"/>
  <c r="L113" i="1"/>
  <c r="T105" i="1"/>
  <c r="L105" i="1"/>
  <c r="Z97" i="1"/>
  <c r="L97" i="1"/>
  <c r="S81" i="1"/>
  <c r="Z50" i="1"/>
  <c r="L152" i="1"/>
  <c r="L144" i="1"/>
  <c r="C136" i="1"/>
  <c r="L136" i="1"/>
  <c r="S128" i="1"/>
  <c r="L128" i="1"/>
  <c r="R120" i="1"/>
  <c r="L120" i="1"/>
  <c r="S112" i="1"/>
  <c r="L112" i="1"/>
  <c r="S104" i="1"/>
  <c r="L104" i="1"/>
  <c r="O96" i="1"/>
  <c r="L96" i="1"/>
  <c r="T72" i="1"/>
  <c r="T56" i="1"/>
  <c r="S48" i="1"/>
  <c r="Q79" i="1"/>
  <c r="I142" i="1"/>
  <c r="L142" i="1"/>
  <c r="Q134" i="1"/>
  <c r="L134" i="1"/>
  <c r="L118" i="1"/>
  <c r="R102" i="1"/>
  <c r="L102" i="1"/>
  <c r="R78" i="1"/>
  <c r="S70" i="1"/>
  <c r="Y54" i="1"/>
  <c r="Y127" i="1"/>
  <c r="N143" i="1"/>
  <c r="N139" i="1"/>
  <c r="C111" i="1"/>
  <c r="T151" i="1"/>
  <c r="Y104" i="1"/>
  <c r="R151" i="1"/>
  <c r="I122" i="1"/>
  <c r="Y106" i="1"/>
  <c r="I134" i="1"/>
  <c r="O106" i="1"/>
  <c r="O146" i="1"/>
  <c r="Q123" i="1"/>
  <c r="Y138" i="1"/>
  <c r="O82" i="1"/>
  <c r="C122" i="1"/>
  <c r="T99" i="1"/>
  <c r="Z123" i="1"/>
  <c r="Z135" i="1"/>
  <c r="D118" i="1"/>
  <c r="Y142" i="1"/>
  <c r="I127" i="1"/>
  <c r="O127" i="1"/>
  <c r="M126" i="1"/>
  <c r="O142" i="1"/>
  <c r="I151" i="1"/>
  <c r="Y119" i="1"/>
  <c r="Y130" i="1"/>
  <c r="O48" i="1"/>
  <c r="R42" i="1"/>
  <c r="R56" i="1"/>
  <c r="O135" i="1"/>
  <c r="S36" i="1"/>
  <c r="N149" i="1"/>
  <c r="L149" i="1"/>
  <c r="I141" i="1"/>
  <c r="L141" i="1"/>
  <c r="I133" i="1"/>
  <c r="L133" i="1"/>
  <c r="Q125" i="1"/>
  <c r="L125" i="1"/>
  <c r="D117" i="1"/>
  <c r="L117" i="1"/>
  <c r="I109" i="1"/>
  <c r="L109" i="1"/>
  <c r="O101" i="1"/>
  <c r="L101" i="1"/>
  <c r="D148" i="1"/>
  <c r="L148" i="1"/>
  <c r="S140" i="1"/>
  <c r="L140" i="1"/>
  <c r="S132" i="1"/>
  <c r="L132" i="1"/>
  <c r="L124" i="1"/>
  <c r="I116" i="1"/>
  <c r="L116" i="1"/>
  <c r="I108" i="1"/>
  <c r="L108" i="1"/>
  <c r="O100" i="1"/>
  <c r="L100" i="1"/>
  <c r="R68" i="1"/>
  <c r="O60" i="1"/>
  <c r="Y53" i="1"/>
  <c r="M147" i="1"/>
  <c r="L147" i="1"/>
  <c r="Y139" i="1"/>
  <c r="L139" i="1"/>
  <c r="I115" i="1"/>
  <c r="L115" i="1"/>
  <c r="C99" i="1"/>
  <c r="L99" i="1"/>
  <c r="T146" i="1"/>
  <c r="L146" i="1"/>
  <c r="Z138" i="1"/>
  <c r="L138" i="1"/>
  <c r="N114" i="1"/>
  <c r="L114" i="1"/>
  <c r="I106" i="1"/>
  <c r="L106" i="1"/>
  <c r="R90" i="1"/>
  <c r="T50" i="1"/>
  <c r="AE3" i="2"/>
  <c r="AF3" i="2" s="1"/>
  <c r="K128" i="1"/>
  <c r="D120" i="1"/>
  <c r="C104" i="1"/>
  <c r="M120" i="1"/>
  <c r="Z136" i="1"/>
  <c r="M152" i="1"/>
  <c r="T97" i="1"/>
  <c r="R57" i="1"/>
  <c r="R89" i="1"/>
  <c r="Q97" i="1"/>
  <c r="M129" i="1"/>
  <c r="M98" i="1"/>
  <c r="Y112" i="1"/>
  <c r="Y147" i="1"/>
  <c r="S65" i="1"/>
  <c r="I112" i="1"/>
  <c r="Z106" i="1"/>
  <c r="T89" i="1"/>
  <c r="Y97" i="1"/>
  <c r="O89" i="1"/>
  <c r="T125" i="1"/>
  <c r="Z112" i="1"/>
  <c r="Q120" i="1"/>
  <c r="M136" i="1"/>
  <c r="Q152" i="1"/>
  <c r="Z152" i="1"/>
  <c r="Q65" i="1"/>
  <c r="R81" i="1"/>
  <c r="R97" i="1"/>
  <c r="M105" i="1"/>
  <c r="M113" i="1"/>
  <c r="M121" i="1"/>
  <c r="Z82" i="1"/>
  <c r="Y120" i="1"/>
  <c r="S97" i="1"/>
  <c r="S41" i="1"/>
  <c r="T100" i="1"/>
  <c r="N126" i="1"/>
  <c r="M110" i="1"/>
  <c r="K136" i="1"/>
  <c r="N128" i="1"/>
  <c r="C120" i="1"/>
  <c r="C152" i="1"/>
  <c r="R65" i="1"/>
  <c r="Q89" i="1"/>
  <c r="D97" i="1"/>
  <c r="Y152" i="1"/>
  <c r="Y89" i="1"/>
  <c r="O49" i="1"/>
  <c r="S89" i="1"/>
  <c r="Y49" i="1"/>
  <c r="T112" i="1"/>
  <c r="R104" i="1"/>
  <c r="R112" i="1"/>
  <c r="Z89" i="1"/>
  <c r="K152" i="1"/>
  <c r="M112" i="1"/>
  <c r="Q136" i="1"/>
  <c r="N104" i="1"/>
  <c r="Q112" i="1"/>
  <c r="Z128" i="1"/>
  <c r="Q81" i="1"/>
  <c r="Y90" i="1"/>
  <c r="Y105" i="1"/>
  <c r="R41" i="1"/>
  <c r="Q57" i="1"/>
  <c r="N97" i="1"/>
  <c r="N105" i="1"/>
  <c r="Z129" i="1"/>
  <c r="O65" i="1"/>
  <c r="I100" i="1"/>
  <c r="S120" i="1"/>
  <c r="T57" i="1"/>
  <c r="O92" i="1"/>
  <c r="R84" i="1"/>
  <c r="D128" i="1"/>
  <c r="Z104" i="1"/>
  <c r="C112" i="1"/>
  <c r="M128" i="1"/>
  <c r="M144" i="1"/>
  <c r="Z66" i="1"/>
  <c r="C97" i="1"/>
  <c r="T65" i="1"/>
  <c r="Q41" i="1"/>
  <c r="K97" i="1"/>
  <c r="N113" i="1"/>
  <c r="N121" i="1"/>
  <c r="N129" i="1"/>
  <c r="Y82" i="1"/>
  <c r="O81" i="1"/>
  <c r="Y65" i="1"/>
  <c r="T128" i="1"/>
  <c r="I104" i="1"/>
  <c r="R128" i="1"/>
  <c r="Q128" i="1"/>
  <c r="Q144" i="1"/>
  <c r="Z90" i="1"/>
  <c r="Q49" i="1"/>
  <c r="N147" i="1"/>
  <c r="K112" i="1"/>
  <c r="D152" i="1"/>
  <c r="M104" i="1"/>
  <c r="Z120" i="1"/>
  <c r="C128" i="1"/>
  <c r="Y50" i="1"/>
  <c r="R49" i="1"/>
  <c r="I97" i="1"/>
  <c r="Y128" i="1"/>
  <c r="N98" i="1"/>
  <c r="I128" i="1"/>
  <c r="O104" i="1"/>
  <c r="S57" i="1"/>
  <c r="Z98" i="1"/>
  <c r="N123" i="1"/>
  <c r="Q102" i="1"/>
  <c r="Y110" i="1"/>
  <c r="T138" i="1"/>
  <c r="O125" i="1"/>
  <c r="I101" i="1"/>
  <c r="C149" i="1"/>
  <c r="Q142" i="1"/>
  <c r="T83" i="1"/>
  <c r="R48" i="1"/>
  <c r="D112" i="1"/>
  <c r="R138" i="1"/>
  <c r="M97" i="1"/>
  <c r="S44" i="1"/>
  <c r="Z134" i="1"/>
  <c r="S79" i="1"/>
  <c r="T134" i="1"/>
  <c r="Y146" i="1"/>
  <c r="O88" i="1"/>
  <c r="R36" i="1"/>
  <c r="T114" i="1"/>
  <c r="O137" i="1"/>
  <c r="Y77" i="1"/>
  <c r="O40" i="1"/>
  <c r="Y125" i="1"/>
  <c r="N117" i="1"/>
  <c r="M95" i="1"/>
  <c r="K122" i="1"/>
  <c r="K138" i="1"/>
  <c r="Z147" i="1"/>
  <c r="N127" i="1"/>
  <c r="D142" i="1"/>
  <c r="T92" i="1"/>
  <c r="T76" i="1"/>
  <c r="T140" i="1"/>
  <c r="I120" i="1"/>
  <c r="B37" i="1"/>
  <c r="K124" i="1"/>
  <c r="Z48" i="1"/>
  <c r="Q116" i="1"/>
  <c r="Q132" i="1"/>
  <c r="Q148" i="1"/>
  <c r="O63" i="1"/>
  <c r="S78" i="1"/>
  <c r="T55" i="1"/>
  <c r="Y71" i="1"/>
  <c r="Y79" i="1"/>
  <c r="N116" i="1"/>
  <c r="M133" i="1"/>
  <c r="S55" i="1"/>
  <c r="Z124" i="1"/>
  <c r="Z125" i="1"/>
  <c r="N109" i="1"/>
  <c r="N133" i="1"/>
  <c r="N141" i="1"/>
  <c r="Q70" i="1"/>
  <c r="Q63" i="1"/>
  <c r="Y109" i="1"/>
  <c r="T132" i="1"/>
  <c r="R108" i="1"/>
  <c r="O55" i="1"/>
  <c r="I140" i="1"/>
  <c r="T86" i="1"/>
  <c r="I132" i="1"/>
  <c r="K132" i="1"/>
  <c r="C116" i="1"/>
  <c r="C132" i="1"/>
  <c r="C148" i="1"/>
  <c r="Z64" i="1"/>
  <c r="O86" i="1"/>
  <c r="Y140" i="1"/>
  <c r="S63" i="1"/>
  <c r="Y63" i="1"/>
  <c r="K140" i="1"/>
  <c r="Z132" i="1"/>
  <c r="D108" i="1"/>
  <c r="D124" i="1"/>
  <c r="D140" i="1"/>
  <c r="S86" i="1"/>
  <c r="Y47" i="1"/>
  <c r="Y55" i="1"/>
  <c r="Z40" i="1"/>
  <c r="Z70" i="1"/>
  <c r="Y148" i="1"/>
  <c r="Z148" i="1"/>
  <c r="Z149" i="1"/>
  <c r="M149" i="1"/>
  <c r="Z133" i="1"/>
  <c r="M125" i="1"/>
  <c r="O124" i="1"/>
  <c r="K148" i="1"/>
  <c r="Y40" i="1"/>
  <c r="M108" i="1"/>
  <c r="M124" i="1"/>
  <c r="M140" i="1"/>
  <c r="Z78" i="1"/>
  <c r="T78" i="1"/>
  <c r="Z86" i="1"/>
  <c r="T47" i="1"/>
  <c r="N140" i="1"/>
  <c r="Z71" i="1"/>
  <c r="R63" i="1"/>
  <c r="Y56" i="1"/>
  <c r="N132" i="1"/>
  <c r="R140" i="1"/>
  <c r="Y117" i="1"/>
  <c r="S124" i="1"/>
  <c r="S40" i="1"/>
  <c r="I124" i="1"/>
  <c r="R116" i="1"/>
  <c r="O140" i="1"/>
  <c r="Y48" i="1"/>
  <c r="Q108" i="1"/>
  <c r="Q124" i="1"/>
  <c r="Q140" i="1"/>
  <c r="Z56" i="1"/>
  <c r="Q55" i="1"/>
  <c r="Z79" i="1"/>
  <c r="R47" i="1"/>
  <c r="Q47" i="1"/>
  <c r="M117" i="1"/>
  <c r="Z109" i="1"/>
  <c r="N125" i="1"/>
  <c r="Z141" i="1"/>
  <c r="M94" i="1"/>
  <c r="T63" i="1"/>
  <c r="Y86" i="1"/>
  <c r="M109" i="1"/>
  <c r="Z41" i="1"/>
  <c r="Y70" i="1"/>
  <c r="R86" i="1"/>
  <c r="Y41" i="1"/>
  <c r="C108" i="1"/>
  <c r="C124" i="1"/>
  <c r="C140" i="1"/>
  <c r="Q78" i="1"/>
  <c r="Z47" i="1"/>
  <c r="N148" i="1"/>
  <c r="Y64" i="1"/>
  <c r="M141" i="1"/>
  <c r="O70" i="1"/>
  <c r="Z63" i="1"/>
  <c r="T116" i="1"/>
  <c r="T124" i="1"/>
  <c r="R70" i="1"/>
  <c r="O132" i="1"/>
  <c r="K108" i="1"/>
  <c r="D116" i="1"/>
  <c r="D132" i="1"/>
  <c r="Z116" i="1"/>
  <c r="D150" i="1"/>
  <c r="B150" i="1"/>
  <c r="B142" i="1"/>
  <c r="B134" i="1"/>
  <c r="B127" i="1"/>
  <c r="B121" i="1"/>
  <c r="R114" i="1"/>
  <c r="B114" i="1"/>
  <c r="T106" i="1"/>
  <c r="B106" i="1"/>
  <c r="Z100" i="1"/>
  <c r="B99" i="1"/>
  <c r="S92" i="1"/>
  <c r="B92" i="1"/>
  <c r="S84" i="1"/>
  <c r="B84" i="1"/>
  <c r="B76" i="1"/>
  <c r="B61" i="1"/>
  <c r="B53" i="1"/>
  <c r="B46" i="1"/>
  <c r="O39" i="1"/>
  <c r="B39" i="1"/>
  <c r="T149" i="1"/>
  <c r="B149" i="1"/>
  <c r="Y141" i="1"/>
  <c r="B141" i="1"/>
  <c r="Y133" i="1"/>
  <c r="B133" i="1"/>
  <c r="I126" i="1"/>
  <c r="B126" i="1"/>
  <c r="B113" i="1"/>
  <c r="S105" i="1"/>
  <c r="B105" i="1"/>
  <c r="D98" i="1"/>
  <c r="B98" i="1"/>
  <c r="B91" i="1"/>
  <c r="B83" i="1"/>
  <c r="Z75" i="1"/>
  <c r="B75" i="1"/>
  <c r="B68" i="1"/>
  <c r="R60" i="1"/>
  <c r="B60" i="1"/>
  <c r="O52" i="1"/>
  <c r="B52" i="1"/>
  <c r="R45" i="1"/>
  <c r="B45" i="1"/>
  <c r="Y38" i="1"/>
  <c r="Y149" i="1"/>
  <c r="B148" i="1"/>
  <c r="B140" i="1"/>
  <c r="B120" i="1"/>
  <c r="O112" i="1"/>
  <c r="B112" i="1"/>
  <c r="T104" i="1"/>
  <c r="B104" i="1"/>
  <c r="O97" i="1"/>
  <c r="B97" i="1"/>
  <c r="B90" i="1"/>
  <c r="B82" i="1"/>
  <c r="Q74" i="1"/>
  <c r="B74" i="1"/>
  <c r="B67" i="1"/>
  <c r="B59" i="1"/>
  <c r="B51" i="1"/>
  <c r="Q44" i="1"/>
  <c r="B44" i="1"/>
  <c r="I147" i="1"/>
  <c r="B147" i="1"/>
  <c r="B139" i="1"/>
  <c r="B132" i="1"/>
  <c r="B125" i="1"/>
  <c r="O119" i="1"/>
  <c r="B119" i="1"/>
  <c r="B111" i="1"/>
  <c r="Z103" i="1"/>
  <c r="B103" i="1"/>
  <c r="B89" i="1"/>
  <c r="T81" i="1"/>
  <c r="B81" i="1"/>
  <c r="B73" i="1"/>
  <c r="Q66" i="1"/>
  <c r="B66" i="1"/>
  <c r="B58" i="1"/>
  <c r="Q50" i="1"/>
  <c r="B50" i="1"/>
  <c r="Z44" i="1"/>
  <c r="B43" i="1"/>
  <c r="R146" i="1"/>
  <c r="B146" i="1"/>
  <c r="M138" i="1"/>
  <c r="B138" i="1"/>
  <c r="Z131" i="1"/>
  <c r="B131" i="1"/>
  <c r="R124" i="1"/>
  <c r="B124" i="1"/>
  <c r="B118" i="1"/>
  <c r="I110" i="1"/>
  <c r="B110" i="1"/>
  <c r="M102" i="1"/>
  <c r="B102" i="1"/>
  <c r="I96" i="1"/>
  <c r="B96" i="1"/>
  <c r="R88" i="1"/>
  <c r="B88" i="1"/>
  <c r="O80" i="1"/>
  <c r="B80" i="1"/>
  <c r="B72" i="1"/>
  <c r="B65" i="1"/>
  <c r="B57" i="1"/>
  <c r="T49" i="1"/>
  <c r="B49" i="1"/>
  <c r="Z33" i="1"/>
  <c r="B33" i="1"/>
  <c r="Y145" i="1"/>
  <c r="B145" i="1"/>
  <c r="S137" i="1"/>
  <c r="B137" i="1"/>
  <c r="R130" i="1"/>
  <c r="B130" i="1"/>
  <c r="B123" i="1"/>
  <c r="B117" i="1"/>
  <c r="C109" i="1"/>
  <c r="B109" i="1"/>
  <c r="T101" i="1"/>
  <c r="B101" i="1"/>
  <c r="B95" i="1"/>
  <c r="O87" i="1"/>
  <c r="B87" i="1"/>
  <c r="B79" i="1"/>
  <c r="B71" i="1"/>
  <c r="T64" i="1"/>
  <c r="B64" i="1"/>
  <c r="B56" i="1"/>
  <c r="Q48" i="1"/>
  <c r="B48" i="1"/>
  <c r="B42" i="1"/>
  <c r="B36" i="1"/>
  <c r="T152" i="1"/>
  <c r="B152" i="1"/>
  <c r="T144" i="1"/>
  <c r="B144" i="1"/>
  <c r="D136" i="1"/>
  <c r="B136" i="1"/>
  <c r="Q129" i="1"/>
  <c r="B129" i="1"/>
  <c r="R122" i="1"/>
  <c r="B122" i="1"/>
  <c r="Y116" i="1"/>
  <c r="B116" i="1"/>
  <c r="T108" i="1"/>
  <c r="B108" i="1"/>
  <c r="I94" i="1"/>
  <c r="B94" i="1"/>
  <c r="Q86" i="1"/>
  <c r="B86" i="1"/>
  <c r="Y78" i="1"/>
  <c r="B78" i="1"/>
  <c r="T70" i="1"/>
  <c r="B70" i="1"/>
  <c r="B63" i="1"/>
  <c r="B55" i="1"/>
  <c r="O47" i="1"/>
  <c r="B47" i="1"/>
  <c r="T41" i="1"/>
  <c r="B41" i="1"/>
  <c r="O35" i="1"/>
  <c r="B35" i="1"/>
  <c r="R152" i="1"/>
  <c r="O121" i="1"/>
  <c r="R132" i="1"/>
  <c r="O148" i="1"/>
  <c r="D151" i="1"/>
  <c r="B151" i="1"/>
  <c r="Q143" i="1"/>
  <c r="B143" i="1"/>
  <c r="B135" i="1"/>
  <c r="O128" i="1"/>
  <c r="B128" i="1"/>
  <c r="Y121" i="1"/>
  <c r="B115" i="1"/>
  <c r="D107" i="1"/>
  <c r="B107" i="1"/>
  <c r="B100" i="1"/>
  <c r="B93" i="1"/>
  <c r="Z85" i="1"/>
  <c r="B85" i="1"/>
  <c r="T77" i="1"/>
  <c r="B77" i="1"/>
  <c r="B69" i="1"/>
  <c r="B62" i="1"/>
  <c r="T54" i="1"/>
  <c r="B54" i="1"/>
  <c r="R46" i="1"/>
  <c r="Q40" i="1"/>
  <c r="B40" i="1"/>
  <c r="B34" i="1"/>
  <c r="K94" i="1"/>
  <c r="K144" i="1"/>
  <c r="Z144" i="1"/>
  <c r="Y58" i="1"/>
  <c r="N107" i="1"/>
  <c r="Q58" i="1"/>
  <c r="M151" i="1"/>
  <c r="N95" i="1"/>
  <c r="D94" i="1"/>
  <c r="R51" i="1"/>
  <c r="T131" i="1"/>
  <c r="Z94" i="1"/>
  <c r="R94" i="1"/>
  <c r="O131" i="1"/>
  <c r="O58" i="1"/>
  <c r="D114" i="1"/>
  <c r="R131" i="1"/>
  <c r="Y132" i="1"/>
  <c r="O107" i="1"/>
  <c r="S73" i="1"/>
  <c r="Z110" i="1"/>
  <c r="T96" i="1"/>
  <c r="S152" i="1"/>
  <c r="Q101" i="1"/>
  <c r="Y129" i="1"/>
  <c r="S148" i="1"/>
  <c r="I114" i="1"/>
  <c r="Y136" i="1"/>
  <c r="Z113" i="1"/>
  <c r="C131" i="1"/>
  <c r="Q150" i="1"/>
  <c r="Z107" i="1"/>
  <c r="Q73" i="1"/>
  <c r="M137" i="1"/>
  <c r="R66" i="1"/>
  <c r="S58" i="1"/>
  <c r="Z87" i="1"/>
  <c r="O94" i="1"/>
  <c r="C94" i="1"/>
  <c r="D144" i="1"/>
  <c r="Z74" i="1"/>
  <c r="S33" i="1"/>
  <c r="M107" i="1"/>
  <c r="N115" i="1"/>
  <c r="M131" i="1"/>
  <c r="Y137" i="1"/>
  <c r="T94" i="1"/>
  <c r="S87" i="1"/>
  <c r="O114" i="1"/>
  <c r="C114" i="1"/>
  <c r="S94" i="1"/>
  <c r="Y134" i="1"/>
  <c r="C144" i="1"/>
  <c r="O150" i="1"/>
  <c r="S107" i="1"/>
  <c r="Z59" i="1"/>
  <c r="N108" i="1"/>
  <c r="Q87" i="1"/>
  <c r="O45" i="1"/>
  <c r="N137" i="1"/>
  <c r="N145" i="1"/>
  <c r="Z108" i="1"/>
  <c r="S114" i="1"/>
  <c r="Z151" i="1"/>
  <c r="R144" i="1"/>
  <c r="O151" i="1"/>
  <c r="S80" i="1"/>
  <c r="R148" i="1"/>
  <c r="Z46" i="1"/>
  <c r="S109" i="1"/>
  <c r="I144" i="1"/>
  <c r="S144" i="1"/>
  <c r="R33" i="1"/>
  <c r="N124" i="1"/>
  <c r="N112" i="1"/>
  <c r="Y62" i="1"/>
  <c r="Z55" i="1"/>
  <c r="Y144" i="1"/>
  <c r="S150" i="1"/>
  <c r="Y87" i="1"/>
  <c r="C107" i="1"/>
  <c r="Y151" i="1"/>
  <c r="Y67" i="1"/>
  <c r="M115" i="1"/>
  <c r="Y131" i="1"/>
  <c r="N131" i="1"/>
  <c r="Y52" i="1"/>
  <c r="Z137" i="1"/>
  <c r="K114" i="1"/>
  <c r="N94" i="1"/>
  <c r="R58" i="1"/>
  <c r="T73" i="1"/>
  <c r="Y95" i="1"/>
  <c r="Q131" i="1"/>
  <c r="Z58" i="1"/>
  <c r="Y73" i="1"/>
  <c r="Z73" i="1"/>
  <c r="M114" i="1"/>
  <c r="Y108" i="1"/>
  <c r="T51" i="1"/>
  <c r="O51" i="1"/>
  <c r="I150" i="1"/>
  <c r="Q94" i="1"/>
  <c r="I131" i="1"/>
  <c r="Y114" i="1"/>
  <c r="T150" i="1"/>
  <c r="Y66" i="1"/>
  <c r="R80" i="1"/>
  <c r="R136" i="1"/>
  <c r="Q45" i="1"/>
  <c r="M145" i="1"/>
  <c r="M150" i="1"/>
  <c r="Z95" i="1"/>
  <c r="N151" i="1"/>
  <c r="Y115" i="1"/>
  <c r="D131" i="1"/>
  <c r="R87" i="1"/>
  <c r="R73" i="1"/>
  <c r="Y74" i="1"/>
  <c r="O66" i="1"/>
  <c r="Z114" i="1"/>
  <c r="T45" i="1"/>
  <c r="O73" i="1"/>
  <c r="T66" i="1"/>
  <c r="Y96" i="1"/>
  <c r="E33" i="1"/>
  <c r="J33" i="1" s="1"/>
  <c r="F34" i="1"/>
  <c r="R127" i="1"/>
  <c r="I136" i="1"/>
  <c r="O136" i="1"/>
  <c r="Z117" i="1"/>
  <c r="R92" i="1"/>
  <c r="S136" i="1"/>
  <c r="D104" i="1"/>
  <c r="S47" i="1"/>
  <c r="T136" i="1"/>
  <c r="O108" i="1"/>
  <c r="O84" i="1"/>
  <c r="O116" i="1"/>
  <c r="O152" i="1"/>
  <c r="Z145" i="1"/>
  <c r="S141" i="1"/>
  <c r="T141" i="1"/>
  <c r="I148" i="1"/>
  <c r="I152" i="1"/>
  <c r="T148" i="1"/>
  <c r="O144" i="1"/>
  <c r="Q117" i="1"/>
  <c r="Z99" i="1"/>
  <c r="S108" i="1"/>
  <c r="Y98" i="1"/>
  <c r="R64" i="1"/>
  <c r="Y101" i="1"/>
  <c r="S64" i="1"/>
  <c r="T117" i="1"/>
  <c r="N118" i="1"/>
  <c r="R150" i="1"/>
  <c r="S116" i="1"/>
  <c r="Y150" i="1"/>
  <c r="Z142" i="1"/>
  <c r="Z65" i="1"/>
  <c r="AY33" i="2" l="1"/>
  <c r="AG3" i="2"/>
  <c r="AP34" i="2"/>
  <c r="AN45" i="2"/>
  <c r="AI50" i="2"/>
  <c r="AT45" i="2"/>
  <c r="AQ34" i="2"/>
  <c r="AL34" i="2"/>
  <c r="AX34" i="2"/>
  <c r="AW34" i="2"/>
  <c r="AM34" i="2"/>
  <c r="AT34" i="2"/>
  <c r="AX46" i="2"/>
  <c r="AL38" i="2"/>
  <c r="AJ35" i="2"/>
  <c r="AV37" i="2"/>
  <c r="AN40" i="2"/>
  <c r="AK45" i="2"/>
  <c r="AT50" i="2"/>
  <c r="AP45" i="2"/>
  <c r="AW45" i="2"/>
  <c r="AX26" i="2"/>
  <c r="AJ45" i="2"/>
  <c r="AS26" i="2"/>
  <c r="AM17" i="2"/>
  <c r="AR34" i="2"/>
  <c r="AJ26" i="2"/>
  <c r="AX40" i="2"/>
  <c r="AI44" i="2"/>
  <c r="AN34" i="2"/>
  <c r="AN35" i="2"/>
  <c r="AO26" i="2"/>
  <c r="AE49" i="2"/>
  <c r="AF49" i="2" s="1"/>
  <c r="AU39" i="2"/>
  <c r="AY39" i="2"/>
  <c r="AE29" i="2"/>
  <c r="AV39" i="2"/>
  <c r="AK39" i="2"/>
  <c r="AU36" i="2"/>
  <c r="AQ45" i="2"/>
  <c r="AX39" i="2"/>
  <c r="AN39" i="2"/>
  <c r="AJ39" i="2"/>
  <c r="AO39" i="2"/>
  <c r="AP39" i="2"/>
  <c r="AT24" i="2"/>
  <c r="AJ36" i="2"/>
  <c r="AY46" i="2"/>
  <c r="AW33" i="2"/>
  <c r="AE38" i="2"/>
  <c r="AF38" i="2" s="1"/>
  <c r="AI24" i="2"/>
  <c r="AX31" i="2"/>
  <c r="AE41" i="2"/>
  <c r="AF41" i="2" s="1"/>
  <c r="AU24" i="2"/>
  <c r="AE17" i="2"/>
  <c r="AF17" i="2" s="1"/>
  <c r="AK31" i="2"/>
  <c r="AE27" i="2"/>
  <c r="AE50" i="2"/>
  <c r="AF50" i="2" s="1"/>
  <c r="AE6" i="2"/>
  <c r="AF6" i="2" s="1"/>
  <c r="AV49" i="2"/>
  <c r="AE45" i="2"/>
  <c r="AF45" i="2" s="1"/>
  <c r="AE22" i="2"/>
  <c r="AE25" i="2"/>
  <c r="AS24" i="2"/>
  <c r="AE12" i="2"/>
  <c r="AF12" i="2" s="1"/>
  <c r="AE36" i="2"/>
  <c r="AF36" i="2" s="1"/>
  <c r="AE32" i="2"/>
  <c r="AF32" i="2" s="1"/>
  <c r="AE33" i="2"/>
  <c r="AF33" i="2" s="1"/>
  <c r="AM45" i="2"/>
  <c r="AQ39" i="2"/>
  <c r="AR39" i="2"/>
  <c r="AW39" i="2"/>
  <c r="AI39" i="2"/>
  <c r="AT39" i="2"/>
  <c r="AS34" i="2"/>
  <c r="AO34" i="2"/>
  <c r="AH34" i="2"/>
  <c r="AE42" i="2"/>
  <c r="AF42" i="2" s="1"/>
  <c r="AE8" i="2"/>
  <c r="AF8" i="2" s="1"/>
  <c r="AE31" i="2"/>
  <c r="AF31" i="2" s="1"/>
  <c r="AU35" i="2"/>
  <c r="AJ50" i="2"/>
  <c r="AI34" i="2"/>
  <c r="AS50" i="2"/>
  <c r="AL50" i="2"/>
  <c r="AM50" i="2"/>
  <c r="AS39" i="2"/>
  <c r="AT26" i="2"/>
  <c r="AK38" i="2"/>
  <c r="AS46" i="2"/>
  <c r="AV38" i="2"/>
  <c r="AO38" i="2"/>
  <c r="AP46" i="2"/>
  <c r="AJ38" i="2"/>
  <c r="AS38" i="2"/>
  <c r="AK46" i="2"/>
  <c r="AY38" i="2"/>
  <c r="AT46" i="2"/>
  <c r="AH38" i="2"/>
  <c r="AV46" i="2"/>
  <c r="AO46" i="2"/>
  <c r="AU46" i="2"/>
  <c r="AW46" i="2"/>
  <c r="AN38" i="2"/>
  <c r="AU38" i="2"/>
  <c r="AI46" i="2"/>
  <c r="AT38" i="2"/>
  <c r="AM46" i="2"/>
  <c r="AM38" i="2"/>
  <c r="AQ38" i="2"/>
  <c r="AH46" i="2"/>
  <c r="AQ46" i="2"/>
  <c r="AL46" i="2"/>
  <c r="AR46" i="2"/>
  <c r="AN46" i="2"/>
  <c r="AI38" i="2"/>
  <c r="AP38" i="2"/>
  <c r="AM37" i="2"/>
  <c r="AI37" i="2"/>
  <c r="AM35" i="2"/>
  <c r="AP40" i="2"/>
  <c r="AL40" i="2"/>
  <c r="AQ40" i="2"/>
  <c r="AX36" i="2"/>
  <c r="AH35" i="2"/>
  <c r="AK36" i="2"/>
  <c r="AP36" i="2"/>
  <c r="AO37" i="2"/>
  <c r="AS35" i="2"/>
  <c r="AT36" i="2"/>
  <c r="AP35" i="2"/>
  <c r="AK35" i="2"/>
  <c r="AH40" i="2"/>
  <c r="AT35" i="2"/>
  <c r="AL36" i="2"/>
  <c r="AO35" i="2"/>
  <c r="AV35" i="2"/>
  <c r="AS36" i="2"/>
  <c r="AW36" i="2"/>
  <c r="AY36" i="2"/>
  <c r="AS40" i="2"/>
  <c r="AR36" i="2"/>
  <c r="AI40" i="2"/>
  <c r="AH37" i="2"/>
  <c r="AN36" i="2"/>
  <c r="AY35" i="2"/>
  <c r="AM36" i="2"/>
  <c r="AO40" i="2"/>
  <c r="AH36" i="2"/>
  <c r="AR35" i="2"/>
  <c r="AW35" i="2"/>
  <c r="AV40" i="2"/>
  <c r="AU40" i="2"/>
  <c r="AX37" i="2"/>
  <c r="AR37" i="2"/>
  <c r="AX35" i="2"/>
  <c r="AJ40" i="2"/>
  <c r="AW40" i="2"/>
  <c r="AY40" i="2"/>
  <c r="AT40" i="2"/>
  <c r="AR48" i="2"/>
  <c r="AV42" i="2"/>
  <c r="AQ48" i="2"/>
  <c r="AJ48" i="2"/>
  <c r="AQ44" i="2"/>
  <c r="AV48" i="2"/>
  <c r="AX33" i="2"/>
  <c r="AX44" i="2"/>
  <c r="AY45" i="2"/>
  <c r="AO33" i="2"/>
  <c r="AO45" i="2"/>
  <c r="AY48" i="2"/>
  <c r="AN50" i="2"/>
  <c r="AQ26" i="2"/>
  <c r="AI45" i="2"/>
  <c r="AV44" i="2"/>
  <c r="AQ42" i="2"/>
  <c r="AK44" i="2"/>
  <c r="AH33" i="2"/>
  <c r="AQ33" i="2"/>
  <c r="AI33" i="2"/>
  <c r="AX50" i="2"/>
  <c r="AK33" i="2"/>
  <c r="AH50" i="2"/>
  <c r="AQ50" i="2"/>
  <c r="AK48" i="2"/>
  <c r="AH44" i="2"/>
  <c r="AM44" i="2"/>
  <c r="AL44" i="2"/>
  <c r="AN33" i="2"/>
  <c r="AJ33" i="2"/>
  <c r="AL33" i="2"/>
  <c r="AO48" i="2"/>
  <c r="AU33" i="2"/>
  <c r="AM48" i="2"/>
  <c r="AP44" i="2"/>
  <c r="AI48" i="2"/>
  <c r="AV33" i="2"/>
  <c r="AK42" i="2"/>
  <c r="AT42" i="2"/>
  <c r="AS48" i="2"/>
  <c r="AK50" i="2"/>
  <c r="AP33" i="2"/>
  <c r="AV50" i="2"/>
  <c r="AS45" i="2"/>
  <c r="AR33" i="2"/>
  <c r="AP26" i="2"/>
  <c r="AW17" i="2"/>
  <c r="AS49" i="2"/>
  <c r="AR50" i="2"/>
  <c r="AR45" i="2"/>
  <c r="AY44" i="2"/>
  <c r="AS33" i="2"/>
  <c r="AU44" i="2"/>
  <c r="AT44" i="2"/>
  <c r="AV45" i="2"/>
  <c r="AO50" i="2"/>
  <c r="AX45" i="2"/>
  <c r="AU50" i="2"/>
  <c r="AR26" i="2"/>
  <c r="AM26" i="2"/>
  <c r="AO42" i="2"/>
  <c r="AW50" i="2"/>
  <c r="AI36" i="2"/>
  <c r="AQ36" i="2"/>
  <c r="AJ34" i="2"/>
  <c r="AU34" i="2"/>
  <c r="AK34" i="2"/>
  <c r="AV36" i="2"/>
  <c r="AY34" i="2"/>
  <c r="A126" i="1"/>
  <c r="AJ31" i="2"/>
  <c r="AP24" i="2"/>
  <c r="AN31" i="2"/>
  <c r="AR31" i="2"/>
  <c r="AY24" i="2"/>
  <c r="AW31" i="2"/>
  <c r="AV24" i="2"/>
  <c r="AV31" i="2"/>
  <c r="AY31" i="2"/>
  <c r="AL31" i="2"/>
  <c r="AM24" i="2"/>
  <c r="AH49" i="2"/>
  <c r="AO31" i="2"/>
  <c r="AW24" i="2"/>
  <c r="AR24" i="2"/>
  <c r="AR49" i="2"/>
  <c r="AX24" i="2"/>
  <c r="AY49" i="2"/>
  <c r="AT31" i="2"/>
  <c r="AX49" i="2"/>
  <c r="AJ24" i="2"/>
  <c r="A150" i="1"/>
  <c r="AS31" i="2"/>
  <c r="AQ24" i="2"/>
  <c r="AH31" i="2"/>
  <c r="AJ49" i="2"/>
  <c r="AP31" i="2"/>
  <c r="AO24" i="2"/>
  <c r="AP49" i="2"/>
  <c r="AW49" i="2"/>
  <c r="AM49" i="2"/>
  <c r="AQ31" i="2"/>
  <c r="AN49" i="2"/>
  <c r="AK24" i="2"/>
  <c r="AK49" i="2"/>
  <c r="AL49" i="2"/>
  <c r="AI49" i="2"/>
  <c r="AT49" i="2"/>
  <c r="AN24" i="2"/>
  <c r="AM31" i="2"/>
  <c r="AU31" i="2"/>
  <c r="AU49" i="2"/>
  <c r="AQ49" i="2"/>
  <c r="AH24" i="2"/>
  <c r="AI26" i="2"/>
  <c r="AR40" i="2"/>
  <c r="AR38" i="2"/>
  <c r="AP17" i="2"/>
  <c r="AO17" i="2"/>
  <c r="AQ17" i="2"/>
  <c r="AJ17" i="2"/>
  <c r="AI17" i="2"/>
  <c r="AU17" i="2"/>
  <c r="AR17" i="2"/>
  <c r="AY17" i="2"/>
  <c r="A110" i="1"/>
  <c r="A94" i="1"/>
  <c r="AH45" i="2"/>
  <c r="AQ35" i="2"/>
  <c r="AS17" i="2"/>
  <c r="AW47" i="2"/>
  <c r="AI47" i="2"/>
  <c r="AM47" i="2"/>
  <c r="AP19" i="2"/>
  <c r="AU47" i="2"/>
  <c r="AX47" i="2"/>
  <c r="AU19" i="2"/>
  <c r="AS32" i="2"/>
  <c r="AH47" i="2"/>
  <c r="AS47" i="2"/>
  <c r="AJ47" i="2"/>
  <c r="AT19" i="2"/>
  <c r="AT32" i="2"/>
  <c r="AK47" i="2"/>
  <c r="AY47" i="2"/>
  <c r="AO19" i="2"/>
  <c r="AR32" i="2"/>
  <c r="AP47" i="2"/>
  <c r="AO47" i="2"/>
  <c r="AL32" i="2"/>
  <c r="AQ32" i="2"/>
  <c r="AM32" i="2"/>
  <c r="AJ32" i="2"/>
  <c r="AP42" i="2"/>
  <c r="AV19" i="2"/>
  <c r="AK19" i="2"/>
  <c r="AU32" i="2"/>
  <c r="AH19" i="2"/>
  <c r="AV32" i="2"/>
  <c r="AN37" i="2"/>
  <c r="AJ37" i="2"/>
  <c r="AS44" i="2"/>
  <c r="AN48" i="2"/>
  <c r="AY37" i="2"/>
  <c r="AL35" i="2"/>
  <c r="AK40" i="2"/>
  <c r="AN32" i="2"/>
  <c r="AE11" i="2"/>
  <c r="AE16" i="2"/>
  <c r="AE46" i="2"/>
  <c r="AF46" i="2" s="1"/>
  <c r="AE34" i="2"/>
  <c r="AF34" i="2" s="1"/>
  <c r="AE13" i="2"/>
  <c r="AE20" i="2"/>
  <c r="AG20" i="2" s="1"/>
  <c r="AE5" i="2"/>
  <c r="AF26" i="2"/>
  <c r="AE40" i="2"/>
  <c r="AF40" i="2" s="1"/>
  <c r="AE21" i="2"/>
  <c r="AE39" i="2"/>
  <c r="AF39" i="2" s="1"/>
  <c r="AE30" i="2"/>
  <c r="AE43" i="2"/>
  <c r="AF43" i="2" s="1"/>
  <c r="AE15" i="2"/>
  <c r="AE4" i="2"/>
  <c r="AE47" i="2"/>
  <c r="AF47" i="2" s="1"/>
  <c r="AE10" i="2"/>
  <c r="AF10" i="2" s="1"/>
  <c r="AE28" i="2"/>
  <c r="AE23" i="2"/>
  <c r="AE14" i="2"/>
  <c r="AE48" i="2"/>
  <c r="AF48" i="2" s="1"/>
  <c r="AE7" i="2"/>
  <c r="AE9" i="2"/>
  <c r="AE44" i="2"/>
  <c r="AF44" i="2" s="1"/>
  <c r="AY43" i="2"/>
  <c r="AV41" i="2"/>
  <c r="AE37" i="2"/>
  <c r="AF37" i="2" s="1"/>
  <c r="AE18" i="2"/>
  <c r="AE35" i="2"/>
  <c r="AF35" i="2" s="1"/>
  <c r="AE24" i="2"/>
  <c r="AF24" i="2" s="1"/>
  <c r="AE19" i="2"/>
  <c r="AF19" i="2" s="1"/>
  <c r="AW43" i="2"/>
  <c r="AO43" i="2"/>
  <c r="AG8" i="2"/>
  <c r="AS43" i="2"/>
  <c r="AW41" i="2"/>
  <c r="AI32" i="2"/>
  <c r="AS41" i="2"/>
  <c r="AJ43" i="2"/>
  <c r="AI42" i="2"/>
  <c r="AJ41" i="2"/>
  <c r="AR42" i="2"/>
  <c r="AP43" i="2"/>
  <c r="AR19" i="2"/>
  <c r="AL43" i="2"/>
  <c r="AP41" i="2"/>
  <c r="AR47" i="2"/>
  <c r="AY41" i="2"/>
  <c r="AX19" i="2"/>
  <c r="AK41" i="2"/>
  <c r="AL19" i="2"/>
  <c r="AJ42" i="2"/>
  <c r="AX42" i="2"/>
  <c r="AL47" i="2"/>
  <c r="AW42" i="2"/>
  <c r="AX41" i="2"/>
  <c r="AR43" i="2"/>
  <c r="AU43" i="2"/>
  <c r="AQ19" i="2"/>
  <c r="AS19" i="2"/>
  <c r="AY32" i="2"/>
  <c r="AK32" i="2"/>
  <c r="AO32" i="2"/>
  <c r="AY19" i="2"/>
  <c r="AW32" i="2"/>
  <c r="AX32" i="2"/>
  <c r="AH32" i="2"/>
  <c r="AW19" i="2"/>
  <c r="AH42" i="2"/>
  <c r="AL42" i="2"/>
  <c r="AY42" i="2"/>
  <c r="AX38" i="2"/>
  <c r="AV43" i="2"/>
  <c r="AQ43" i="2"/>
  <c r="AR41" i="2"/>
  <c r="AT41" i="2"/>
  <c r="AT47" i="2"/>
  <c r="AN47" i="2"/>
  <c r="AN19" i="2"/>
  <c r="AI41" i="2"/>
  <c r="AM19" i="2"/>
  <c r="AU41" i="2"/>
  <c r="AJ19" i="2"/>
  <c r="AL41" i="2"/>
  <c r="AV47" i="2"/>
  <c r="AR44" i="2"/>
  <c r="AN17" i="2"/>
  <c r="AT43" i="2"/>
  <c r="AK37" i="2"/>
  <c r="AT37" i="2"/>
  <c r="AT33" i="2"/>
  <c r="AH17" i="2"/>
  <c r="AH41" i="2"/>
  <c r="AK17" i="2"/>
  <c r="AU37" i="2"/>
  <c r="AP37" i="2"/>
  <c r="AJ44" i="2"/>
  <c r="AN43" i="2"/>
  <c r="AW48" i="2"/>
  <c r="AH39" i="2"/>
  <c r="AH26" i="2"/>
  <c r="AP50" i="2"/>
  <c r="AU45" i="2"/>
  <c r="AX43" i="2"/>
  <c r="AU48" i="2"/>
  <c r="AL39" i="2"/>
  <c r="AN26" i="2"/>
  <c r="AU26" i="2"/>
  <c r="AK26" i="2"/>
  <c r="AW37" i="2"/>
  <c r="AX17" i="2"/>
  <c r="AT17" i="2"/>
  <c r="AI43" i="2"/>
  <c r="AQ41" i="2"/>
  <c r="AW44" i="2"/>
  <c r="AH48" i="2"/>
  <c r="AV26" i="2"/>
  <c r="AW26" i="2"/>
  <c r="AH43" i="2"/>
  <c r="AV17" i="2"/>
  <c r="AN41" i="2"/>
  <c r="AK43" i="2"/>
  <c r="AT48" i="2"/>
  <c r="AP48" i="2"/>
  <c r="AO44" i="2"/>
  <c r="AQ37" i="2"/>
  <c r="AL37" i="2"/>
  <c r="AY26" i="2"/>
  <c r="AO41" i="2"/>
  <c r="AL48" i="2"/>
  <c r="AS42" i="2"/>
  <c r="AU42" i="2"/>
  <c r="AN42" i="2"/>
  <c r="A106" i="1"/>
  <c r="A139" i="1"/>
  <c r="A140" i="1"/>
  <c r="A137" i="1"/>
  <c r="A119" i="1"/>
  <c r="A108" i="1"/>
  <c r="A101" i="1"/>
  <c r="A133" i="1"/>
  <c r="A142" i="1"/>
  <c r="A112" i="1"/>
  <c r="A144" i="1"/>
  <c r="A105" i="1"/>
  <c r="A98" i="1"/>
  <c r="A127" i="1"/>
  <c r="A114" i="1"/>
  <c r="A147" i="1"/>
  <c r="A148" i="1"/>
  <c r="A145" i="1"/>
  <c r="A122" i="1"/>
  <c r="A135" i="1"/>
  <c r="A107" i="1"/>
  <c r="A116" i="1"/>
  <c r="A109" i="1"/>
  <c r="A141" i="1"/>
  <c r="A102" i="1"/>
  <c r="A120" i="1"/>
  <c r="A152" i="1"/>
  <c r="A113" i="1"/>
  <c r="A130" i="1"/>
  <c r="A143" i="1"/>
  <c r="A123" i="1"/>
  <c r="A138" i="1"/>
  <c r="A99" i="1"/>
  <c r="A151" i="1"/>
  <c r="A131" i="1"/>
  <c r="A124" i="1"/>
  <c r="A117" i="1"/>
  <c r="A149" i="1"/>
  <c r="A118" i="1"/>
  <c r="A96" i="1"/>
  <c r="A128" i="1"/>
  <c r="A121" i="1"/>
  <c r="A95" i="1"/>
  <c r="A146" i="1"/>
  <c r="A115" i="1"/>
  <c r="A132" i="1"/>
  <c r="A129" i="1"/>
  <c r="A103" i="1"/>
  <c r="A100" i="1"/>
  <c r="A125" i="1"/>
  <c r="A134" i="1"/>
  <c r="A104" i="1"/>
  <c r="A136" i="1"/>
  <c r="A97" i="1"/>
  <c r="A111" i="1"/>
  <c r="C33" i="1"/>
  <c r="K33" i="1"/>
  <c r="F35" i="1"/>
  <c r="E34" i="1"/>
  <c r="J34" i="1" s="1"/>
  <c r="AF29" i="2" l="1"/>
  <c r="AG29" i="2"/>
  <c r="AF30" i="2"/>
  <c r="AG30" i="2"/>
  <c r="AF28" i="2"/>
  <c r="AG28" i="2"/>
  <c r="AF27" i="2"/>
  <c r="AG27" i="2"/>
  <c r="AF15" i="2"/>
  <c r="AG15" i="2"/>
  <c r="AG12" i="2"/>
  <c r="AI12" i="2" s="1"/>
  <c r="AF11" i="2"/>
  <c r="AG11" i="2"/>
  <c r="AG10" i="2"/>
  <c r="AV10" i="2" s="1"/>
  <c r="AF25" i="2"/>
  <c r="AG25" i="2"/>
  <c r="AG6" i="2"/>
  <c r="AS6" i="2" s="1"/>
  <c r="AF18" i="2"/>
  <c r="AG18" i="2"/>
  <c r="AW3" i="2"/>
  <c r="AN3" i="2"/>
  <c r="AL3" i="2"/>
  <c r="AH3" i="2"/>
  <c r="AO3" i="2"/>
  <c r="AJ3" i="2"/>
  <c r="AS3" i="2"/>
  <c r="AM3" i="2"/>
  <c r="AI3" i="2"/>
  <c r="AU3" i="2"/>
  <c r="AK3" i="2"/>
  <c r="AQ3" i="2"/>
  <c r="AF14" i="2"/>
  <c r="AG14" i="2"/>
  <c r="AX3" i="2"/>
  <c r="AY3" i="2"/>
  <c r="AV3" i="2"/>
  <c r="AP3" i="2"/>
  <c r="AT3" i="2"/>
  <c r="AR3" i="2"/>
  <c r="AF9" i="2"/>
  <c r="AG9" i="2"/>
  <c r="AF23" i="2"/>
  <c r="AG23" i="2"/>
  <c r="AU23" i="2" s="1"/>
  <c r="AF16" i="2"/>
  <c r="AG16" i="2"/>
  <c r="AF5" i="2"/>
  <c r="AG5" i="2"/>
  <c r="AF13" i="2"/>
  <c r="AG13" i="2"/>
  <c r="AF22" i="2"/>
  <c r="AG22" i="2"/>
  <c r="AF20" i="2"/>
  <c r="AF7" i="2"/>
  <c r="AG7" i="2"/>
  <c r="AF21" i="2"/>
  <c r="AG21" i="2"/>
  <c r="AF4" i="2"/>
  <c r="AG4" i="2"/>
  <c r="AT8" i="2"/>
  <c r="AH8" i="2"/>
  <c r="AS8" i="2"/>
  <c r="AP8" i="2"/>
  <c r="AM8" i="2"/>
  <c r="AJ8" i="2"/>
  <c r="AV8" i="2"/>
  <c r="AW8" i="2"/>
  <c r="AR8" i="2"/>
  <c r="AQ8" i="2"/>
  <c r="AO8" i="2"/>
  <c r="AK8" i="2"/>
  <c r="AY8" i="2"/>
  <c r="AI8" i="2"/>
  <c r="AU8" i="2"/>
  <c r="AL8" i="2"/>
  <c r="AN8" i="2"/>
  <c r="AX8" i="2"/>
  <c r="C34" i="1"/>
  <c r="K34" i="1"/>
  <c r="E35" i="1"/>
  <c r="J35" i="1" s="1"/>
  <c r="F36" i="1"/>
  <c r="AU29" i="2" l="1"/>
  <c r="AW29" i="2"/>
  <c r="AJ29" i="2"/>
  <c r="AT29" i="2"/>
  <c r="AO29" i="2"/>
  <c r="AH29" i="2"/>
  <c r="AI29" i="2"/>
  <c r="AM29" i="2"/>
  <c r="AQ29" i="2"/>
  <c r="AN29" i="2"/>
  <c r="AR29" i="2"/>
  <c r="AP29" i="2"/>
  <c r="AV29" i="2"/>
  <c r="AL29" i="2"/>
  <c r="AS29" i="2"/>
  <c r="AK29" i="2"/>
  <c r="AY29" i="2"/>
  <c r="AX29" i="2"/>
  <c r="AK30" i="2"/>
  <c r="AW30" i="2"/>
  <c r="AO30" i="2"/>
  <c r="AM30" i="2"/>
  <c r="AV30" i="2"/>
  <c r="AN30" i="2"/>
  <c r="AI30" i="2"/>
  <c r="AL30" i="2"/>
  <c r="AP30" i="2"/>
  <c r="AX30" i="2"/>
  <c r="AQ30" i="2"/>
  <c r="AR30" i="2"/>
  <c r="AS30" i="2"/>
  <c r="AY30" i="2"/>
  <c r="AH30" i="2"/>
  <c r="AJ30" i="2"/>
  <c r="AU30" i="2"/>
  <c r="AT30" i="2"/>
  <c r="AY28" i="2"/>
  <c r="AS28" i="2"/>
  <c r="AU28" i="2"/>
  <c r="AO28" i="2"/>
  <c r="AM28" i="2"/>
  <c r="AN28" i="2"/>
  <c r="AI28" i="2"/>
  <c r="AR28" i="2"/>
  <c r="AQ28" i="2"/>
  <c r="AW28" i="2"/>
  <c r="AH28" i="2"/>
  <c r="AJ28" i="2"/>
  <c r="AV28" i="2"/>
  <c r="AK28" i="2"/>
  <c r="AP28" i="2"/>
  <c r="AT28" i="2"/>
  <c r="AL28" i="2"/>
  <c r="AX28" i="2"/>
  <c r="AK27" i="2"/>
  <c r="AL27" i="2"/>
  <c r="AX27" i="2"/>
  <c r="AS27" i="2"/>
  <c r="AP27" i="2"/>
  <c r="AW27" i="2"/>
  <c r="AJ27" i="2"/>
  <c r="AH27" i="2"/>
  <c r="AY27" i="2"/>
  <c r="AO27" i="2"/>
  <c r="AI27" i="2"/>
  <c r="AT27" i="2"/>
  <c r="AM27" i="2"/>
  <c r="AQ27" i="2"/>
  <c r="AR27" i="2"/>
  <c r="AV27" i="2"/>
  <c r="AN27" i="2"/>
  <c r="AU27" i="2"/>
  <c r="AY12" i="2"/>
  <c r="AP12" i="2"/>
  <c r="AO12" i="2"/>
  <c r="AN15" i="2"/>
  <c r="AX15" i="2"/>
  <c r="AM15" i="2"/>
  <c r="AR15" i="2"/>
  <c r="AI15" i="2"/>
  <c r="AT15" i="2"/>
  <c r="AV15" i="2"/>
  <c r="AU15" i="2"/>
  <c r="AH15" i="2"/>
  <c r="AL15" i="2"/>
  <c r="AO15" i="2"/>
  <c r="AK15" i="2"/>
  <c r="AY15" i="2"/>
  <c r="AW15" i="2"/>
  <c r="AP15" i="2"/>
  <c r="AS15" i="2"/>
  <c r="AQ15" i="2"/>
  <c r="AJ15" i="2"/>
  <c r="AQ12" i="2"/>
  <c r="AX12" i="2"/>
  <c r="AJ12" i="2"/>
  <c r="AN12" i="2"/>
  <c r="AT12" i="2"/>
  <c r="AU12" i="2"/>
  <c r="AH12" i="2"/>
  <c r="AK12" i="2"/>
  <c r="AV12" i="2"/>
  <c r="AR12" i="2"/>
  <c r="AS12" i="2"/>
  <c r="AM12" i="2"/>
  <c r="AW12" i="2"/>
  <c r="AL12" i="2"/>
  <c r="AY10" i="2"/>
  <c r="AO10" i="2"/>
  <c r="AI10" i="2"/>
  <c r="AR10" i="2"/>
  <c r="AJ10" i="2"/>
  <c r="AL10" i="2"/>
  <c r="AX10" i="2"/>
  <c r="AS10" i="2"/>
  <c r="AN10" i="2"/>
  <c r="AM10" i="2"/>
  <c r="AH10" i="2"/>
  <c r="AT10" i="2"/>
  <c r="AQ10" i="2"/>
  <c r="AP10" i="2"/>
  <c r="AR11" i="2"/>
  <c r="AN11" i="2"/>
  <c r="AI11" i="2"/>
  <c r="AW11" i="2"/>
  <c r="AX11" i="2"/>
  <c r="AK11" i="2"/>
  <c r="AJ11" i="2"/>
  <c r="AT11" i="2"/>
  <c r="AY11" i="2"/>
  <c r="AP11" i="2"/>
  <c r="AH11" i="2"/>
  <c r="AQ11" i="2"/>
  <c r="AV11" i="2"/>
  <c r="AS11" i="2"/>
  <c r="AU11" i="2"/>
  <c r="AL11" i="2"/>
  <c r="AO11" i="2"/>
  <c r="AM11" i="2"/>
  <c r="AK10" i="2"/>
  <c r="AU10" i="2"/>
  <c r="AW10" i="2"/>
  <c r="AO6" i="2"/>
  <c r="AT25" i="2"/>
  <c r="AP25" i="2"/>
  <c r="AL25" i="2"/>
  <c r="AU25" i="2"/>
  <c r="AS25" i="2"/>
  <c r="AY25" i="2"/>
  <c r="AV25" i="2"/>
  <c r="AK25" i="2"/>
  <c r="AN25" i="2"/>
  <c r="AW25" i="2"/>
  <c r="AH25" i="2"/>
  <c r="AI25" i="2"/>
  <c r="AM25" i="2"/>
  <c r="AO25" i="2"/>
  <c r="AR25" i="2"/>
  <c r="AX25" i="2"/>
  <c r="AQ25" i="2"/>
  <c r="AJ25" i="2"/>
  <c r="AR6" i="2"/>
  <c r="AX6" i="2"/>
  <c r="AJ6" i="2"/>
  <c r="AT6" i="2"/>
  <c r="AH6" i="2"/>
  <c r="AW6" i="2"/>
  <c r="AY6" i="2"/>
  <c r="AP6" i="2"/>
  <c r="AL6" i="2"/>
  <c r="AN6" i="2"/>
  <c r="AU6" i="2"/>
  <c r="AM6" i="2"/>
  <c r="AI6" i="2"/>
  <c r="AK6" i="2"/>
  <c r="AV6" i="2"/>
  <c r="AQ6" i="2"/>
  <c r="AI18" i="2"/>
  <c r="AN18" i="2"/>
  <c r="AS18" i="2"/>
  <c r="AY18" i="2"/>
  <c r="AR18" i="2"/>
  <c r="AM18" i="2"/>
  <c r="AH18" i="2"/>
  <c r="AT18" i="2"/>
  <c r="AO18" i="2"/>
  <c r="AJ18" i="2"/>
  <c r="AW18" i="2"/>
  <c r="AQ18" i="2"/>
  <c r="AL18" i="2"/>
  <c r="AX18" i="2"/>
  <c r="AV18" i="2"/>
  <c r="AP18" i="2"/>
  <c r="AU18" i="2"/>
  <c r="AK18" i="2"/>
  <c r="AS14" i="2"/>
  <c r="AU14" i="2"/>
  <c r="AN14" i="2"/>
  <c r="AX14" i="2"/>
  <c r="AQ14" i="2"/>
  <c r="AK14" i="2"/>
  <c r="AL14" i="2"/>
  <c r="AO14" i="2"/>
  <c r="AJ14" i="2"/>
  <c r="AV14" i="2"/>
  <c r="AI14" i="2"/>
  <c r="AW14" i="2"/>
  <c r="AM14" i="2"/>
  <c r="AR14" i="2"/>
  <c r="AY14" i="2"/>
  <c r="AT14" i="2"/>
  <c r="AH14" i="2"/>
  <c r="AP14" i="2"/>
  <c r="AS9" i="2"/>
  <c r="AK9" i="2"/>
  <c r="AP9" i="2"/>
  <c r="AU9" i="2"/>
  <c r="AO9" i="2"/>
  <c r="AI9" i="2"/>
  <c r="AY9" i="2"/>
  <c r="AQ9" i="2"/>
  <c r="AV9" i="2"/>
  <c r="AX9" i="2"/>
  <c r="AM9" i="2"/>
  <c r="AT9" i="2"/>
  <c r="AH9" i="2"/>
  <c r="AW9" i="2"/>
  <c r="AJ9" i="2"/>
  <c r="AL9" i="2"/>
  <c r="AR9" i="2"/>
  <c r="AN9" i="2"/>
  <c r="AO23" i="2"/>
  <c r="AK23" i="2"/>
  <c r="AY23" i="2"/>
  <c r="AI23" i="2"/>
  <c r="AV23" i="2"/>
  <c r="AJ23" i="2"/>
  <c r="AS23" i="2"/>
  <c r="AH23" i="2"/>
  <c r="AM23" i="2"/>
  <c r="AX23" i="2"/>
  <c r="AL23" i="2"/>
  <c r="AP23" i="2"/>
  <c r="AR23" i="2"/>
  <c r="AQ23" i="2"/>
  <c r="AW23" i="2"/>
  <c r="AN23" i="2"/>
  <c r="AT23" i="2"/>
  <c r="AT16" i="2"/>
  <c r="AJ16" i="2"/>
  <c r="AY16" i="2"/>
  <c r="AX16" i="2"/>
  <c r="AV16" i="2"/>
  <c r="AK16" i="2"/>
  <c r="AH16" i="2"/>
  <c r="AS16" i="2"/>
  <c r="AM16" i="2"/>
  <c r="AO16" i="2"/>
  <c r="AI16" i="2"/>
  <c r="AQ16" i="2"/>
  <c r="AP16" i="2"/>
  <c r="AL16" i="2"/>
  <c r="AU16" i="2"/>
  <c r="AW16" i="2"/>
  <c r="AR16" i="2"/>
  <c r="AN16" i="2"/>
  <c r="AV5" i="2"/>
  <c r="AH5" i="2"/>
  <c r="AY5" i="2"/>
  <c r="AU5" i="2"/>
  <c r="AM5" i="2"/>
  <c r="AW5" i="2"/>
  <c r="AI5" i="2"/>
  <c r="AO5" i="2"/>
  <c r="AT5" i="2"/>
  <c r="AR5" i="2"/>
  <c r="AK5" i="2"/>
  <c r="AN5" i="2"/>
  <c r="AX5" i="2"/>
  <c r="AP5" i="2"/>
  <c r="AL5" i="2"/>
  <c r="AQ5" i="2"/>
  <c r="AJ5" i="2"/>
  <c r="AS5" i="2"/>
  <c r="AU13" i="2"/>
  <c r="AR13" i="2"/>
  <c r="AK13" i="2"/>
  <c r="AM13" i="2"/>
  <c r="AX13" i="2"/>
  <c r="AJ13" i="2"/>
  <c r="AW13" i="2"/>
  <c r="AP13" i="2"/>
  <c r="AS13" i="2"/>
  <c r="AH13" i="2"/>
  <c r="AO13" i="2"/>
  <c r="AI13" i="2"/>
  <c r="AT13" i="2"/>
  <c r="AL13" i="2"/>
  <c r="AN13" i="2"/>
  <c r="AQ13" i="2"/>
  <c r="AV13" i="2"/>
  <c r="AY13" i="2"/>
  <c r="AN22" i="2"/>
  <c r="AH22" i="2"/>
  <c r="AJ22" i="2"/>
  <c r="AQ22" i="2"/>
  <c r="AL22" i="2"/>
  <c r="AK22" i="2"/>
  <c r="AY22" i="2"/>
  <c r="AM22" i="2"/>
  <c r="AT22" i="2"/>
  <c r="AR22" i="2"/>
  <c r="AO22" i="2"/>
  <c r="AU22" i="2"/>
  <c r="AV22" i="2"/>
  <c r="AP22" i="2"/>
  <c r="AS22" i="2"/>
  <c r="AW22" i="2"/>
  <c r="AI22" i="2"/>
  <c r="AX22" i="2"/>
  <c r="AQ20" i="2"/>
  <c r="AN20" i="2"/>
  <c r="AJ20" i="2"/>
  <c r="AM20" i="2"/>
  <c r="AU20" i="2"/>
  <c r="AP20" i="2"/>
  <c r="AY20" i="2"/>
  <c r="AO20" i="2"/>
  <c r="AW20" i="2"/>
  <c r="AL20" i="2"/>
  <c r="AH20" i="2"/>
  <c r="AV20" i="2"/>
  <c r="AK20" i="2"/>
  <c r="AX20" i="2"/>
  <c r="AT20" i="2"/>
  <c r="AI20" i="2"/>
  <c r="AR20" i="2"/>
  <c r="AS20" i="2"/>
  <c r="AT7" i="2"/>
  <c r="AY7" i="2"/>
  <c r="AI7" i="2"/>
  <c r="AS7" i="2"/>
  <c r="AK7" i="2"/>
  <c r="AR7" i="2"/>
  <c r="AU7" i="2"/>
  <c r="AH7" i="2"/>
  <c r="AQ7" i="2"/>
  <c r="AV7" i="2"/>
  <c r="AJ7" i="2"/>
  <c r="AX7" i="2"/>
  <c r="AW7" i="2"/>
  <c r="AL7" i="2"/>
  <c r="AP7" i="2"/>
  <c r="AO7" i="2"/>
  <c r="AM7" i="2"/>
  <c r="AN7" i="2"/>
  <c r="AG51" i="2"/>
  <c r="AV21" i="2"/>
  <c r="AX21" i="2"/>
  <c r="AR21" i="2"/>
  <c r="AS21" i="2"/>
  <c r="AW21" i="2"/>
  <c r="AT21" i="2"/>
  <c r="AH21" i="2"/>
  <c r="AK21" i="2"/>
  <c r="AL21" i="2"/>
  <c r="AQ21" i="2"/>
  <c r="AN21" i="2"/>
  <c r="AY21" i="2"/>
  <c r="AP21" i="2"/>
  <c r="AI21" i="2"/>
  <c r="AM21" i="2"/>
  <c r="AJ21" i="2"/>
  <c r="AU21" i="2"/>
  <c r="AO21" i="2"/>
  <c r="AJ4" i="2"/>
  <c r="AH4" i="2"/>
  <c r="AM4" i="2"/>
  <c r="AV4" i="2"/>
  <c r="AO4" i="2"/>
  <c r="AP4" i="2"/>
  <c r="AY4" i="2"/>
  <c r="AU4" i="2"/>
  <c r="AK4" i="2"/>
  <c r="AL4" i="2"/>
  <c r="AI4" i="2"/>
  <c r="AW4" i="2"/>
  <c r="AQ4" i="2"/>
  <c r="AR4" i="2"/>
  <c r="AX4" i="2"/>
  <c r="AS4" i="2"/>
  <c r="AT4" i="2"/>
  <c r="AN4" i="2"/>
  <c r="K35" i="1"/>
  <c r="C35" i="1"/>
  <c r="F37" i="1"/>
  <c r="E36" i="1"/>
  <c r="J36" i="1" s="1"/>
  <c r="AR51" i="2" l="1"/>
  <c r="AR52" i="2" s="1"/>
  <c r="L12" i="1" s="1"/>
  <c r="AP51" i="2"/>
  <c r="AP53" i="2" s="1"/>
  <c r="AV51" i="2"/>
  <c r="AO51" i="2"/>
  <c r="AO52" i="2" s="1"/>
  <c r="M14" i="1" s="1"/>
  <c r="AJ51" i="2"/>
  <c r="M5" i="1" s="1"/>
  <c r="AY51" i="2"/>
  <c r="AS51" i="2"/>
  <c r="AS52" i="2" s="1"/>
  <c r="L13" i="1" s="1"/>
  <c r="AX51" i="2"/>
  <c r="AU51" i="2"/>
  <c r="K20" i="1" s="1"/>
  <c r="AL51" i="2"/>
  <c r="M7" i="1" s="1"/>
  <c r="AW51" i="2"/>
  <c r="AH51" i="2"/>
  <c r="L9" i="1" s="1"/>
  <c r="P32" i="1" s="1"/>
  <c r="AK51" i="2"/>
  <c r="O5" i="1" s="1"/>
  <c r="AT51" i="2"/>
  <c r="L17" i="1" s="1"/>
  <c r="AN51" i="2"/>
  <c r="L11" i="1" s="1"/>
  <c r="AI51" i="2"/>
  <c r="L10" i="1" s="1"/>
  <c r="AQ51" i="2"/>
  <c r="AQ53" i="2" s="1"/>
  <c r="AM51" i="2"/>
  <c r="O7" i="1" s="1"/>
  <c r="E6" i="1"/>
  <c r="C36" i="1"/>
  <c r="K36" i="1"/>
  <c r="E37" i="1"/>
  <c r="J37" i="1" s="1"/>
  <c r="F38" i="1"/>
  <c r="AR53" i="2" l="1"/>
  <c r="M10" i="1"/>
  <c r="D6" i="1"/>
  <c r="M32" i="1" s="1"/>
  <c r="C6" i="1"/>
  <c r="P5" i="1" s="1"/>
  <c r="D8" i="1"/>
  <c r="AQ52" i="2"/>
  <c r="M16" i="1" s="1"/>
  <c r="L16" i="1" s="1"/>
  <c r="C8" i="1"/>
  <c r="P7" i="1" s="1"/>
  <c r="AP52" i="2"/>
  <c r="M15" i="1" s="1"/>
  <c r="L15" i="1" s="1"/>
  <c r="E15" i="1" s="1"/>
  <c r="AO53" i="2"/>
  <c r="AS53" i="2"/>
  <c r="U32" i="1" s="1"/>
  <c r="C37" i="1"/>
  <c r="K37" i="1"/>
  <c r="F39" i="1"/>
  <c r="E38" i="1"/>
  <c r="J38" i="1" s="1"/>
  <c r="P78" i="1" l="1"/>
  <c r="P58" i="1"/>
  <c r="P76" i="1"/>
  <c r="P60" i="1"/>
  <c r="P84" i="1"/>
  <c r="P62" i="1"/>
  <c r="P56" i="1"/>
  <c r="P68" i="1"/>
  <c r="P54" i="1"/>
  <c r="P65" i="1"/>
  <c r="P52" i="1"/>
  <c r="P72" i="1"/>
  <c r="P85" i="1"/>
  <c r="P91" i="1"/>
  <c r="P74" i="1"/>
  <c r="P88" i="1"/>
  <c r="P87" i="1"/>
  <c r="P77" i="1"/>
  <c r="P83" i="1"/>
  <c r="P80" i="1"/>
  <c r="P89" i="1"/>
  <c r="P79" i="1"/>
  <c r="P75" i="1"/>
  <c r="P70" i="1"/>
  <c r="P64" i="1"/>
  <c r="P90" i="1"/>
  <c r="P71" i="1"/>
  <c r="P61" i="1"/>
  <c r="P67" i="1"/>
  <c r="P66" i="1"/>
  <c r="P82" i="1"/>
  <c r="P92" i="1"/>
  <c r="P73" i="1"/>
  <c r="P63" i="1"/>
  <c r="P86" i="1"/>
  <c r="P53" i="1"/>
  <c r="P59" i="1"/>
  <c r="P55" i="1"/>
  <c r="P48" i="1"/>
  <c r="P49" i="1"/>
  <c r="P47" i="1"/>
  <c r="P50" i="1"/>
  <c r="P46" i="1"/>
  <c r="W32" i="1"/>
  <c r="L32" i="1" s="1"/>
  <c r="D32" i="1" s="1"/>
  <c r="P42" i="1"/>
  <c r="P44" i="1"/>
  <c r="P35" i="1"/>
  <c r="P40" i="1"/>
  <c r="P43" i="1"/>
  <c r="P33" i="1"/>
  <c r="P34" i="1" s="1"/>
  <c r="P38" i="1"/>
  <c r="P39" i="1"/>
  <c r="P37" i="1"/>
  <c r="P36" i="1"/>
  <c r="P41" i="1"/>
  <c r="C38" i="1"/>
  <c r="K38" i="1"/>
  <c r="F40" i="1"/>
  <c r="E39" i="1"/>
  <c r="J39" i="1" s="1"/>
  <c r="P45" i="1" l="1"/>
  <c r="P51" i="1" s="1"/>
  <c r="C32" i="1"/>
  <c r="C39" i="1"/>
  <c r="K39" i="1"/>
  <c r="E40" i="1"/>
  <c r="J40" i="1" s="1"/>
  <c r="F41" i="1"/>
  <c r="P57" i="1" l="1"/>
  <c r="P81" i="1" s="1"/>
  <c r="C40" i="1"/>
  <c r="K40" i="1"/>
  <c r="F42" i="1"/>
  <c r="E41" i="1"/>
  <c r="J41" i="1" s="1"/>
  <c r="P69" i="1" l="1"/>
  <c r="P93" i="1" s="1"/>
  <c r="K41" i="1"/>
  <c r="C41" i="1"/>
  <c r="E42" i="1"/>
  <c r="J42" i="1" s="1"/>
  <c r="F43" i="1"/>
  <c r="K42" i="1" l="1"/>
  <c r="C42" i="1"/>
  <c r="E43" i="1"/>
  <c r="J43" i="1" s="1"/>
  <c r="F44" i="1"/>
  <c r="C43" i="1" l="1"/>
  <c r="K43" i="1"/>
  <c r="E44" i="1"/>
  <c r="J44" i="1" s="1"/>
  <c r="F45" i="1"/>
  <c r="C44" i="1" l="1"/>
  <c r="K44" i="1"/>
  <c r="E45" i="1"/>
  <c r="J45" i="1" s="1"/>
  <c r="F46" i="1"/>
  <c r="K45" i="1" l="1"/>
  <c r="C45" i="1"/>
  <c r="F47" i="1"/>
  <c r="E46" i="1"/>
  <c r="J46" i="1" s="1"/>
  <c r="C46" i="1" l="1"/>
  <c r="K46" i="1"/>
  <c r="F48" i="1"/>
  <c r="E47" i="1"/>
  <c r="J47" i="1" s="1"/>
  <c r="C47" i="1" l="1"/>
  <c r="K47" i="1"/>
  <c r="F49" i="1"/>
  <c r="E48" i="1"/>
  <c r="J48" i="1" s="1"/>
  <c r="K48" i="1" l="1"/>
  <c r="C48" i="1"/>
  <c r="F50" i="1"/>
  <c r="E49" i="1"/>
  <c r="J49" i="1" s="1"/>
  <c r="K49" i="1" l="1"/>
  <c r="C49" i="1"/>
  <c r="F51" i="1"/>
  <c r="E50" i="1"/>
  <c r="J50" i="1" s="1"/>
  <c r="C50" i="1" l="1"/>
  <c r="K50" i="1"/>
  <c r="F52" i="1"/>
  <c r="E51" i="1"/>
  <c r="J51" i="1" s="1"/>
  <c r="K51" i="1" l="1"/>
  <c r="C51" i="1"/>
  <c r="E52" i="1"/>
  <c r="J52" i="1" s="1"/>
  <c r="F53" i="1"/>
  <c r="C52" i="1" l="1"/>
  <c r="K52" i="1"/>
  <c r="E53" i="1"/>
  <c r="J53" i="1" s="1"/>
  <c r="F54" i="1"/>
  <c r="K53" i="1" l="1"/>
  <c r="C53" i="1"/>
  <c r="F55" i="1"/>
  <c r="E54" i="1"/>
  <c r="J54" i="1" s="1"/>
  <c r="K54" i="1" l="1"/>
  <c r="C54" i="1"/>
  <c r="F56" i="1"/>
  <c r="E55" i="1"/>
  <c r="J55" i="1" s="1"/>
  <c r="K55" i="1" l="1"/>
  <c r="C55" i="1"/>
  <c r="F57" i="1"/>
  <c r="E56" i="1"/>
  <c r="J56" i="1" s="1"/>
  <c r="K56" i="1" l="1"/>
  <c r="C56" i="1"/>
  <c r="F58" i="1"/>
  <c r="E57" i="1"/>
  <c r="J57" i="1" s="1"/>
  <c r="K57" i="1" l="1"/>
  <c r="C57" i="1"/>
  <c r="F59" i="1"/>
  <c r="E58" i="1"/>
  <c r="J58" i="1" s="1"/>
  <c r="C58" i="1" l="1"/>
  <c r="K58" i="1"/>
  <c r="F60" i="1"/>
  <c r="E59" i="1"/>
  <c r="J59" i="1" s="1"/>
  <c r="C59" i="1" l="1"/>
  <c r="K59" i="1"/>
  <c r="E60" i="1"/>
  <c r="J60" i="1" s="1"/>
  <c r="F61" i="1"/>
  <c r="C60" i="1" l="1"/>
  <c r="K60" i="1"/>
  <c r="F62" i="1"/>
  <c r="E61" i="1"/>
  <c r="J61" i="1" s="1"/>
  <c r="K61" i="1" l="1"/>
  <c r="C61" i="1"/>
  <c r="F63" i="1"/>
  <c r="E62" i="1"/>
  <c r="J62" i="1" s="1"/>
  <c r="K62" i="1" l="1"/>
  <c r="C62" i="1"/>
  <c r="E63" i="1"/>
  <c r="J63" i="1" s="1"/>
  <c r="F64" i="1"/>
  <c r="K63" i="1" l="1"/>
  <c r="C63" i="1"/>
  <c r="E64" i="1"/>
  <c r="J64" i="1" s="1"/>
  <c r="F65" i="1"/>
  <c r="K64" i="1" l="1"/>
  <c r="C64" i="1"/>
  <c r="F66" i="1"/>
  <c r="E65" i="1"/>
  <c r="J65" i="1" s="1"/>
  <c r="C65" i="1" l="1"/>
  <c r="K65" i="1"/>
  <c r="E66" i="1"/>
  <c r="J66" i="1" s="1"/>
  <c r="F67" i="1"/>
  <c r="C66" i="1" l="1"/>
  <c r="K66" i="1"/>
  <c r="F68" i="1"/>
  <c r="E67" i="1"/>
  <c r="J67" i="1" s="1"/>
  <c r="K67" i="1" l="1"/>
  <c r="C67" i="1"/>
  <c r="E68" i="1"/>
  <c r="J68" i="1" s="1"/>
  <c r="F69" i="1"/>
  <c r="C68" i="1" l="1"/>
  <c r="K68" i="1"/>
  <c r="E69" i="1"/>
  <c r="J69" i="1" s="1"/>
  <c r="F70" i="1"/>
  <c r="K69" i="1" l="1"/>
  <c r="C69" i="1"/>
  <c r="F71" i="1"/>
  <c r="E70" i="1"/>
  <c r="J70" i="1" s="1"/>
  <c r="K70" i="1" l="1"/>
  <c r="C70" i="1"/>
  <c r="F72" i="1"/>
  <c r="E71" i="1"/>
  <c r="J71" i="1" s="1"/>
  <c r="K71" i="1" l="1"/>
  <c r="C71" i="1"/>
  <c r="E72" i="1"/>
  <c r="J72" i="1" s="1"/>
  <c r="F73" i="1"/>
  <c r="K72" i="1" l="1"/>
  <c r="C72" i="1"/>
  <c r="F74" i="1"/>
  <c r="E73" i="1"/>
  <c r="J73" i="1" s="1"/>
  <c r="K73" i="1" l="1"/>
  <c r="C73" i="1"/>
  <c r="E74" i="1"/>
  <c r="J74" i="1" s="1"/>
  <c r="F75" i="1"/>
  <c r="C74" i="1" l="1"/>
  <c r="K74" i="1"/>
  <c r="E75" i="1"/>
  <c r="J75" i="1" s="1"/>
  <c r="F76" i="1"/>
  <c r="K75" i="1" l="1"/>
  <c r="C75" i="1"/>
  <c r="E76" i="1"/>
  <c r="J76" i="1" s="1"/>
  <c r="F77" i="1"/>
  <c r="C76" i="1" l="1"/>
  <c r="K76" i="1"/>
  <c r="E77" i="1"/>
  <c r="J77" i="1" s="1"/>
  <c r="F78" i="1"/>
  <c r="K77" i="1" l="1"/>
  <c r="C77" i="1"/>
  <c r="F79" i="1"/>
  <c r="E78" i="1"/>
  <c r="J78" i="1" s="1"/>
  <c r="K78" i="1" l="1"/>
  <c r="C78" i="1"/>
  <c r="F80" i="1"/>
  <c r="E79" i="1"/>
  <c r="J79" i="1" s="1"/>
  <c r="C79" i="1" l="1"/>
  <c r="K79" i="1"/>
  <c r="F81" i="1"/>
  <c r="E80" i="1"/>
  <c r="J80" i="1" s="1"/>
  <c r="C80" i="1" l="1"/>
  <c r="K80" i="1"/>
  <c r="E81" i="1"/>
  <c r="J81" i="1" s="1"/>
  <c r="F82" i="1"/>
  <c r="C81" i="1" l="1"/>
  <c r="K81" i="1"/>
  <c r="E82" i="1"/>
  <c r="J82" i="1" s="1"/>
  <c r="F83" i="1"/>
  <c r="C82" i="1" l="1"/>
  <c r="K82" i="1"/>
  <c r="E83" i="1"/>
  <c r="J83" i="1" s="1"/>
  <c r="F84" i="1"/>
  <c r="K83" i="1" l="1"/>
  <c r="C83" i="1"/>
  <c r="E84" i="1"/>
  <c r="J84" i="1" s="1"/>
  <c r="F85" i="1"/>
  <c r="K84" i="1" l="1"/>
  <c r="C84" i="1"/>
  <c r="E85" i="1"/>
  <c r="J85" i="1" s="1"/>
  <c r="F86" i="1"/>
  <c r="C85" i="1" l="1"/>
  <c r="K85" i="1"/>
  <c r="F87" i="1"/>
  <c r="E86" i="1"/>
  <c r="J86" i="1" s="1"/>
  <c r="K86" i="1" l="1"/>
  <c r="C86" i="1"/>
  <c r="F88" i="1"/>
  <c r="E87" i="1"/>
  <c r="J87" i="1" s="1"/>
  <c r="K87" i="1" l="1"/>
  <c r="C87" i="1"/>
  <c r="F89" i="1"/>
  <c r="E88" i="1"/>
  <c r="J88" i="1" s="1"/>
  <c r="C88" i="1" l="1"/>
  <c r="K88" i="1"/>
  <c r="E89" i="1"/>
  <c r="J89" i="1" s="1"/>
  <c r="F90" i="1"/>
  <c r="K89" i="1" l="1"/>
  <c r="C89" i="1"/>
  <c r="E90" i="1"/>
  <c r="J90" i="1" s="1"/>
  <c r="F91" i="1"/>
  <c r="K90" i="1" l="1"/>
  <c r="C90" i="1"/>
  <c r="E91" i="1"/>
  <c r="J91" i="1" s="1"/>
  <c r="F92" i="1"/>
  <c r="C91" i="1" l="1"/>
  <c r="K91" i="1"/>
  <c r="E92" i="1"/>
  <c r="J92" i="1" s="1"/>
  <c r="F93" i="1"/>
  <c r="C92" i="1" l="1"/>
  <c r="K92" i="1"/>
  <c r="E93" i="1"/>
  <c r="F94" i="1"/>
  <c r="F95" i="1" l="1"/>
  <c r="E94" i="1"/>
  <c r="F96" i="1" l="1"/>
  <c r="E95" i="1"/>
  <c r="F97" i="1" l="1"/>
  <c r="E96" i="1"/>
  <c r="E97" i="1" l="1"/>
  <c r="F98" i="1"/>
  <c r="F99" i="1" l="1"/>
  <c r="E98" i="1"/>
  <c r="E99" i="1" l="1"/>
  <c r="F100" i="1"/>
  <c r="F101" i="1" l="1"/>
  <c r="E100" i="1"/>
  <c r="E101" i="1" l="1"/>
  <c r="F102" i="1"/>
  <c r="F103" i="1" l="1"/>
  <c r="E102" i="1"/>
  <c r="F104" i="1" l="1"/>
  <c r="E103" i="1"/>
  <c r="F105" i="1" l="1"/>
  <c r="E104" i="1"/>
  <c r="F106" i="1" l="1"/>
  <c r="E105" i="1"/>
  <c r="F107" i="1" l="1"/>
  <c r="E106" i="1"/>
  <c r="E107" i="1" l="1"/>
  <c r="F108" i="1"/>
  <c r="E108" i="1" l="1"/>
  <c r="F109" i="1"/>
  <c r="E109" i="1" l="1"/>
  <c r="F110" i="1"/>
  <c r="F111" i="1" l="1"/>
  <c r="E110" i="1"/>
  <c r="F112" i="1" l="1"/>
  <c r="E111" i="1"/>
  <c r="F113" i="1" l="1"/>
  <c r="E112" i="1"/>
  <c r="F114" i="1" l="1"/>
  <c r="E113" i="1"/>
  <c r="F115" i="1" l="1"/>
  <c r="E114" i="1"/>
  <c r="F116" i="1" l="1"/>
  <c r="E115" i="1"/>
  <c r="F117" i="1" l="1"/>
  <c r="E116" i="1"/>
  <c r="E117" i="1" l="1"/>
  <c r="F118" i="1"/>
  <c r="F119" i="1" l="1"/>
  <c r="E118" i="1"/>
  <c r="F120" i="1" l="1"/>
  <c r="E119" i="1"/>
  <c r="F121" i="1" l="1"/>
  <c r="E120" i="1"/>
  <c r="F122" i="1" l="1"/>
  <c r="E121" i="1"/>
  <c r="F123" i="1" l="1"/>
  <c r="E122" i="1"/>
  <c r="F124" i="1" l="1"/>
  <c r="E123" i="1"/>
  <c r="E124" i="1" l="1"/>
  <c r="F125" i="1"/>
  <c r="F126" i="1" l="1"/>
  <c r="E125" i="1"/>
  <c r="F127" i="1" l="1"/>
  <c r="E126" i="1"/>
  <c r="F128" i="1" l="1"/>
  <c r="E127" i="1"/>
  <c r="F129" i="1" l="1"/>
  <c r="E128" i="1"/>
  <c r="F130" i="1" l="1"/>
  <c r="E129" i="1"/>
  <c r="E130" i="1" l="1"/>
  <c r="F131" i="1"/>
  <c r="F132" i="1" l="1"/>
  <c r="E131" i="1"/>
  <c r="E132" i="1" l="1"/>
  <c r="F133" i="1"/>
  <c r="E133" i="1" l="1"/>
  <c r="F134" i="1"/>
  <c r="F135" i="1" l="1"/>
  <c r="E134" i="1"/>
  <c r="F136" i="1" l="1"/>
  <c r="E135" i="1"/>
  <c r="F137" i="1" l="1"/>
  <c r="E136" i="1"/>
  <c r="F138" i="1" l="1"/>
  <c r="E137" i="1"/>
  <c r="E138" i="1" l="1"/>
  <c r="F139" i="1"/>
  <c r="E139" i="1" l="1"/>
  <c r="F140" i="1"/>
  <c r="E140" i="1" l="1"/>
  <c r="F141" i="1"/>
  <c r="E141" i="1" l="1"/>
  <c r="F142" i="1"/>
  <c r="F143" i="1" l="1"/>
  <c r="E142" i="1"/>
  <c r="E143" i="1" l="1"/>
  <c r="F144" i="1"/>
  <c r="F145" i="1" l="1"/>
  <c r="E144" i="1"/>
  <c r="E145" i="1" l="1"/>
  <c r="F146" i="1"/>
  <c r="E146" i="1" l="1"/>
  <c r="F147" i="1"/>
  <c r="E147" i="1" l="1"/>
  <c r="F148" i="1"/>
  <c r="F149" i="1" l="1"/>
  <c r="E148" i="1"/>
  <c r="E149" i="1" l="1"/>
  <c r="F150" i="1"/>
  <c r="F151" i="1" l="1"/>
  <c r="E150" i="1"/>
  <c r="F152" i="1" l="1"/>
  <c r="E152" i="1" s="1"/>
  <c r="E151" i="1"/>
  <c r="AG52" i="2" l="1"/>
  <c r="E14" i="1"/>
  <c r="L52" i="1" l="1"/>
  <c r="D52" i="1" s="1"/>
  <c r="L88" i="1"/>
  <c r="L73" i="1"/>
  <c r="L83" i="1"/>
  <c r="L86" i="1"/>
  <c r="L78" i="1"/>
  <c r="L74" i="1"/>
  <c r="L89" i="1"/>
  <c r="L87" i="1"/>
  <c r="L85" i="1"/>
  <c r="L82" i="1"/>
  <c r="L91" i="1"/>
  <c r="L79" i="1"/>
  <c r="L75" i="1"/>
  <c r="L77" i="1"/>
  <c r="L76" i="1"/>
  <c r="L84" i="1"/>
  <c r="L90" i="1"/>
  <c r="L14" i="1"/>
  <c r="L54" i="1"/>
  <c r="D54" i="1" s="1"/>
  <c r="L65" i="1"/>
  <c r="D65" i="1" s="1"/>
  <c r="L47" i="1"/>
  <c r="A47" i="1" s="1"/>
  <c r="L39" i="1"/>
  <c r="D39" i="1" s="1"/>
  <c r="N33" i="1"/>
  <c r="L43" i="1"/>
  <c r="L59" i="1"/>
  <c r="L53" i="1"/>
  <c r="L42" i="1"/>
  <c r="L40" i="1"/>
  <c r="L41" i="1"/>
  <c r="L64" i="1"/>
  <c r="L46" i="1"/>
  <c r="L49" i="1"/>
  <c r="L58" i="1"/>
  <c r="L62" i="1"/>
  <c r="L61" i="1"/>
  <c r="L55" i="1"/>
  <c r="L60" i="1"/>
  <c r="L66" i="1"/>
  <c r="L48" i="1"/>
  <c r="L67" i="1"/>
  <c r="L70" i="1"/>
  <c r="L63" i="1"/>
  <c r="A52" i="1" l="1"/>
  <c r="D77" i="1"/>
  <c r="A77" i="1"/>
  <c r="D74" i="1"/>
  <c r="A74" i="1"/>
  <c r="D75" i="1"/>
  <c r="A75" i="1"/>
  <c r="D78" i="1"/>
  <c r="A78" i="1"/>
  <c r="D79" i="1"/>
  <c r="A79" i="1"/>
  <c r="D86" i="1"/>
  <c r="A86" i="1"/>
  <c r="D91" i="1"/>
  <c r="A91" i="1"/>
  <c r="D83" i="1"/>
  <c r="A83" i="1"/>
  <c r="D90" i="1"/>
  <c r="A90" i="1"/>
  <c r="D82" i="1"/>
  <c r="A82" i="1"/>
  <c r="D73" i="1"/>
  <c r="A73" i="1"/>
  <c r="D84" i="1"/>
  <c r="A84" i="1"/>
  <c r="D85" i="1"/>
  <c r="A85" i="1"/>
  <c r="D87" i="1"/>
  <c r="A87" i="1"/>
  <c r="D88" i="1"/>
  <c r="A88" i="1"/>
  <c r="D76" i="1"/>
  <c r="A76" i="1"/>
  <c r="D89" i="1"/>
  <c r="A89" i="1"/>
  <c r="D47" i="1"/>
  <c r="A54" i="1"/>
  <c r="A39" i="1"/>
  <c r="A65" i="1"/>
  <c r="D70" i="1"/>
  <c r="A70" i="1"/>
  <c r="D60" i="1"/>
  <c r="A60" i="1"/>
  <c r="A42" i="1"/>
  <c r="D42" i="1"/>
  <c r="A67" i="1"/>
  <c r="D67" i="1"/>
  <c r="D53" i="1"/>
  <c r="A53" i="1"/>
  <c r="D64" i="1"/>
  <c r="A64" i="1"/>
  <c r="A46" i="1"/>
  <c r="D46" i="1"/>
  <c r="A66" i="1"/>
  <c r="D66" i="1"/>
  <c r="A41" i="1"/>
  <c r="D41" i="1"/>
  <c r="D40" i="1"/>
  <c r="A40" i="1"/>
  <c r="D62" i="1"/>
  <c r="A62" i="1"/>
  <c r="D61" i="1"/>
  <c r="A61" i="1"/>
  <c r="D63" i="1"/>
  <c r="A63" i="1"/>
  <c r="A49" i="1"/>
  <c r="D49" i="1"/>
  <c r="A55" i="1"/>
  <c r="D55" i="1"/>
  <c r="D48" i="1"/>
  <c r="A48" i="1"/>
  <c r="D59" i="1"/>
  <c r="A59" i="1"/>
  <c r="D58" i="1"/>
  <c r="A58" i="1"/>
  <c r="A43" i="1"/>
  <c r="D43" i="1"/>
  <c r="L71" i="1" l="1"/>
  <c r="D71" i="1" l="1"/>
  <c r="A71" i="1"/>
  <c r="L72" i="1"/>
  <c r="A72" i="1" l="1"/>
  <c r="D72" i="1"/>
  <c r="Y72" i="1"/>
  <c r="Z72" i="1"/>
  <c r="L33" i="1" l="1"/>
  <c r="L50" i="1"/>
  <c r="A50" i="1" s="1"/>
  <c r="L51" i="1"/>
  <c r="Y34" i="1"/>
  <c r="Z34" i="1"/>
  <c r="Y51" i="1"/>
  <c r="Z51" i="1"/>
  <c r="A51" i="1" l="1"/>
  <c r="D51" i="1"/>
  <c r="D50" i="1"/>
  <c r="A33" i="1"/>
  <c r="D33" i="1"/>
  <c r="M33" i="1"/>
  <c r="N34" i="1" l="1"/>
  <c r="L34" i="1" l="1"/>
  <c r="A34" i="1" l="1"/>
  <c r="M34" i="1"/>
  <c r="N35" i="1" s="1"/>
  <c r="D34" i="1"/>
  <c r="L35" i="1" l="1"/>
  <c r="D35" i="1" l="1"/>
  <c r="M35" i="1"/>
  <c r="N36" i="1" s="1"/>
  <c r="A35" i="1"/>
  <c r="L36" i="1" l="1"/>
  <c r="D36" i="1" l="1"/>
  <c r="M36" i="1"/>
  <c r="A36" i="1"/>
  <c r="N37" i="1" l="1"/>
  <c r="L37" i="1" l="1"/>
  <c r="A37" i="1" l="1"/>
  <c r="D37" i="1"/>
  <c r="M37" i="1"/>
  <c r="N38" i="1" l="1"/>
  <c r="L38" i="1" l="1"/>
  <c r="A38" i="1" l="1"/>
  <c r="D38" i="1"/>
  <c r="M38" i="1"/>
  <c r="N39" i="1" l="1"/>
  <c r="M39" i="1" s="1"/>
  <c r="N40" i="1" s="1"/>
  <c r="M40" i="1" s="1"/>
  <c r="N41" i="1" l="1"/>
  <c r="M41" i="1" s="1"/>
  <c r="N42" i="1" s="1"/>
  <c r="M42" i="1" s="1"/>
  <c r="N43" i="1" s="1"/>
  <c r="M43" i="1" s="1"/>
  <c r="L80" i="1"/>
  <c r="N44" i="1" l="1"/>
  <c r="A80" i="1"/>
  <c r="D80" i="1"/>
  <c r="L81" i="1"/>
  <c r="A81" i="1" l="1"/>
  <c r="D81" i="1"/>
  <c r="Y81" i="1"/>
  <c r="Z81" i="1"/>
  <c r="L68" i="1" l="1"/>
  <c r="D68" i="1" l="1"/>
  <c r="L69" i="1"/>
  <c r="A68" i="1"/>
  <c r="D69" i="1" l="1"/>
  <c r="A69" i="1"/>
  <c r="Y69" i="1" l="1"/>
  <c r="Z69" i="1" l="1"/>
  <c r="D45" i="1" l="1"/>
  <c r="L56" i="1" l="1"/>
  <c r="D56" i="1" l="1"/>
  <c r="L57" i="1"/>
  <c r="A56" i="1"/>
  <c r="A57" i="1" l="1"/>
  <c r="D57" i="1"/>
  <c r="Z57" i="1"/>
  <c r="Y57" i="1"/>
  <c r="M44" i="1" l="1"/>
  <c r="N45" i="1" l="1"/>
  <c r="M45" i="1" s="1"/>
  <c r="L44" i="1"/>
  <c r="N46" i="1"/>
  <c r="D44" i="1" l="1"/>
  <c r="L45" i="1"/>
  <c r="A45" i="1" s="1"/>
  <c r="A44" i="1"/>
  <c r="M46" i="1"/>
  <c r="N47" i="1" l="1"/>
  <c r="M47" i="1" l="1"/>
  <c r="N48" i="1" l="1"/>
  <c r="M48" i="1" l="1"/>
  <c r="N49" i="1" l="1"/>
  <c r="M49" i="1" l="1"/>
  <c r="N50" i="1" l="1"/>
  <c r="M50" i="1" s="1"/>
  <c r="N51" i="1" s="1"/>
  <c r="M51" i="1" s="1"/>
  <c r="N52" i="1" s="1"/>
  <c r="M52" i="1" s="1"/>
  <c r="N53" i="1" s="1"/>
  <c r="M53" i="1" s="1"/>
  <c r="N54" i="1" s="1"/>
  <c r="M54" i="1" s="1"/>
  <c r="N55" i="1" s="1"/>
  <c r="M55" i="1" s="1"/>
  <c r="N56" i="1" s="1"/>
  <c r="M56" i="1" s="1"/>
  <c r="N57" i="1" s="1"/>
  <c r="M57" i="1" s="1"/>
  <c r="N58" i="1" s="1"/>
  <c r="M58" i="1" s="1"/>
  <c r="N59" i="1" s="1"/>
  <c r="M59" i="1" s="1"/>
  <c r="N60" i="1" s="1"/>
  <c r="M60" i="1" s="1"/>
  <c r="N61" i="1" s="1"/>
  <c r="M61" i="1" s="1"/>
  <c r="N62" i="1" s="1"/>
  <c r="M62" i="1" s="1"/>
  <c r="N63" i="1" s="1"/>
  <c r="M63" i="1" s="1"/>
  <c r="N64" i="1" s="1"/>
  <c r="M64" i="1" s="1"/>
  <c r="N65" i="1" s="1"/>
  <c r="M65" i="1" s="1"/>
  <c r="N66" i="1" s="1"/>
  <c r="M66" i="1" s="1"/>
  <c r="N67" i="1" s="1"/>
  <c r="M67" i="1" s="1"/>
  <c r="N68" i="1" s="1"/>
  <c r="M68" i="1" s="1"/>
  <c r="N69" i="1" s="1"/>
  <c r="M69" i="1" s="1"/>
  <c r="N70" i="1" s="1"/>
  <c r="M70" i="1" s="1"/>
  <c r="N71" i="1" s="1"/>
  <c r="M71" i="1" s="1"/>
  <c r="N72" i="1" s="1"/>
  <c r="M72" i="1" s="1"/>
  <c r="N73" i="1" s="1"/>
  <c r="M73" i="1" s="1"/>
  <c r="N74" i="1" s="1"/>
  <c r="M74" i="1" s="1"/>
  <c r="N75" i="1" s="1"/>
  <c r="M75" i="1" s="1"/>
  <c r="N76" i="1" s="1"/>
  <c r="M76" i="1" s="1"/>
  <c r="N77" i="1" s="1"/>
  <c r="M77" i="1" s="1"/>
  <c r="N78" i="1" s="1"/>
  <c r="M78" i="1" s="1"/>
  <c r="N79" i="1" s="1"/>
  <c r="M79" i="1" s="1"/>
  <c r="N80" i="1" s="1"/>
  <c r="M80" i="1" s="1"/>
  <c r="N81" i="1" s="1"/>
  <c r="M81" i="1" s="1"/>
  <c r="N82" i="1" s="1"/>
  <c r="M82" i="1" s="1"/>
  <c r="N83" i="1" s="1"/>
  <c r="M83" i="1" s="1"/>
  <c r="N84" i="1" s="1"/>
  <c r="M84" i="1" s="1"/>
  <c r="N85" i="1" s="1"/>
  <c r="M85" i="1" s="1"/>
  <c r="N86" i="1" s="1"/>
  <c r="M86" i="1" s="1"/>
  <c r="N87" i="1" s="1"/>
  <c r="M87" i="1" s="1"/>
  <c r="N88" i="1" s="1"/>
  <c r="M88" i="1" s="1"/>
  <c r="N89" i="1" s="1"/>
  <c r="M89" i="1" s="1"/>
  <c r="N90" i="1" s="1"/>
  <c r="M90" i="1" s="1"/>
  <c r="N91" i="1" s="1"/>
  <c r="M91" i="1" s="1"/>
  <c r="N92" i="1" l="1"/>
  <c r="M92" i="1"/>
  <c r="M93" i="1" s="1"/>
  <c r="L92" i="1" l="1"/>
  <c r="N93" i="1"/>
  <c r="L24" i="1" s="1"/>
  <c r="L93" i="1" l="1"/>
  <c r="A93" i="1" s="1"/>
  <c r="D92" i="1"/>
  <c r="L21" i="1" s="1"/>
  <c r="A92" i="1"/>
  <c r="L20" i="1" l="1"/>
  <c r="L23" i="1"/>
  <c r="Z45" i="1" s="1"/>
  <c r="Y93" i="1"/>
  <c r="Y45" i="1"/>
  <c r="Z93" i="1"/>
</calcChain>
</file>

<file path=xl/sharedStrings.xml><?xml version="1.0" encoding="utf-8"?>
<sst xmlns="http://schemas.openxmlformats.org/spreadsheetml/2006/main" count="346" uniqueCount="152">
  <si>
    <t>ануітет</t>
  </si>
  <si>
    <t>гривень</t>
  </si>
  <si>
    <t>порука</t>
  </si>
  <si>
    <t>Мікрокредит</t>
  </si>
  <si>
    <t>Споживчий</t>
  </si>
  <si>
    <t>ОСГ Селянський</t>
  </si>
  <si>
    <t>Захисник</t>
  </si>
  <si>
    <t>Введіть бажану суму кредиту</t>
  </si>
  <si>
    <t>Строк кредиту</t>
  </si>
  <si>
    <t>% ставка</t>
  </si>
  <si>
    <t>одноразова комісія</t>
  </si>
  <si>
    <t>щомісячна комісія</t>
  </si>
  <si>
    <t>ставка річна</t>
  </si>
  <si>
    <t>строк місяців від</t>
  </si>
  <si>
    <t>строк місяців до</t>
  </si>
  <si>
    <t>сума від</t>
  </si>
  <si>
    <t>сума до</t>
  </si>
  <si>
    <t>забезпечення</t>
  </si>
  <si>
    <t>знижка 1</t>
  </si>
  <si>
    <t>знижка 2</t>
  </si>
  <si>
    <t>знижка 3</t>
  </si>
  <si>
    <t>додаткові витрати страховка</t>
  </si>
  <si>
    <t>додаткові витрати інші</t>
  </si>
  <si>
    <t>ОСОБЛИВІ УМОВИ</t>
  </si>
  <si>
    <t>за умови документального підтвердження доходів. При цьому, сума кредиту, що може бути надана за цими умовами формується в межах сукупної суми трьох середньомісячних сум (без урахування податків та зборів), але в будь-якому разі в межах мінімальної та максимальної суми, передбачених цими умовами: заробітної плати та/або пенсії.</t>
  </si>
  <si>
    <t>ОБРАНА ставка річна</t>
  </si>
  <si>
    <t>Можлива сума кредиту</t>
  </si>
  <si>
    <t>від</t>
  </si>
  <si>
    <t>до</t>
  </si>
  <si>
    <t>Можливий термін кредиту</t>
  </si>
  <si>
    <t>Забезпечення по кредиту:</t>
  </si>
  <si>
    <t>1. ПАРАМЕТРИ КРЕДИТУ</t>
  </si>
  <si>
    <t>№ з/п</t>
  </si>
  <si>
    <t>Дата видачі кредиту/дата платежу</t>
  </si>
  <si>
    <t>Кількість днів у розрахунковому
періоді</t>
  </si>
  <si>
    <t>Чиста сума кредиту/
сума платежу
за розрахунковий період, грн</t>
  </si>
  <si>
    <t>Види платежів за кредитом</t>
  </si>
  <si>
    <t>Реальна річна процентна ставка, %</t>
  </si>
  <si>
    <t>Загальна вартість кредиту, грн</t>
  </si>
  <si>
    <t>сума кредиту за договором/
погашення суми кредиту</t>
  </si>
  <si>
    <t>проценти за користування
кредитом</t>
  </si>
  <si>
    <t>платежі за додаткові та/або супровідні послуги</t>
  </si>
  <si>
    <t>кредитодавця</t>
  </si>
  <si>
    <t>третіх осіб</t>
  </si>
  <si>
    <t>за обслуговування кредитної заборгованості</t>
  </si>
  <si>
    <t>комісія за надання кредиту</t>
  </si>
  <si>
    <t>інші послуги кредитодавця</t>
  </si>
  <si>
    <t>комісійний збір</t>
  </si>
  <si>
    <t>інша плата за послуги кредитного посередника</t>
  </si>
  <si>
    <t>за розрахунково-касове обслуговування</t>
  </si>
  <si>
    <t>послуги нотаріуса</t>
  </si>
  <si>
    <t>послуги оцінювача</t>
  </si>
  <si>
    <t>послуги страховика</t>
  </si>
  <si>
    <t>інші послуги третіх осіб</t>
  </si>
  <si>
    <t>1</t>
  </si>
  <si>
    <t>2</t>
  </si>
  <si>
    <t>3</t>
  </si>
  <si>
    <t>4</t>
  </si>
  <si>
    <t>5</t>
  </si>
  <si>
    <t>6</t>
  </si>
  <si>
    <t>7</t>
  </si>
  <si>
    <t>8</t>
  </si>
  <si>
    <t>9</t>
  </si>
  <si>
    <t>10</t>
  </si>
  <si>
    <t>11</t>
  </si>
  <si>
    <t>12</t>
  </si>
  <si>
    <t>13</t>
  </si>
  <si>
    <t>14</t>
  </si>
  <si>
    <t>15</t>
  </si>
  <si>
    <t>16</t>
  </si>
  <si>
    <t>17</t>
  </si>
  <si>
    <t>18</t>
  </si>
  <si>
    <t>Х</t>
  </si>
  <si>
    <t>кред.пос.(за наявності)</t>
  </si>
  <si>
    <t>% в періоді ОС в кінці строку дії договору</t>
  </si>
  <si>
    <t>-4% * на придбання сільськогосподарської техніки та/або обладнання сільськогосподарського призначення, які будуть використовуватись у веденні особистого селянського господарства</t>
  </si>
  <si>
    <t>Види графіків</t>
  </si>
  <si>
    <t>6 міс.% далі ануітет</t>
  </si>
  <si>
    <t>графік по умовах</t>
  </si>
  <si>
    <t>обєкт нарахування комісії</t>
  </si>
  <si>
    <t>Обєкт нарахування комісії щомісячної</t>
  </si>
  <si>
    <t xml:space="preserve">на залишок кредиту </t>
  </si>
  <si>
    <t>на суму ліміту</t>
  </si>
  <si>
    <t>дати для РВС</t>
  </si>
  <si>
    <t>Сума для РВС</t>
  </si>
  <si>
    <t>Визначення стрічки РАЗОМ</t>
  </si>
  <si>
    <t>сума кредиту у діапазоні</t>
  </si>
  <si>
    <t>Якщо - 1 то сума чи термін не відповідають програмі</t>
  </si>
  <si>
    <t>КАЛЬКУЛЯТОР РОЗРАХУНКУ ЗАГАЛЬНОЇ ВАРТОСТІ КРЕДИТУ В ПВКС</t>
  </si>
  <si>
    <t>- поля для вибору значень</t>
  </si>
  <si>
    <t>-поля для заповнення</t>
  </si>
  <si>
    <t>ЗАХИСНИК                        (споживчий)</t>
  </si>
  <si>
    <t>МІКРОКРЕДИТ                  (споживчий)</t>
  </si>
  <si>
    <t>СПОЖИВЧИЙ                    (споживчий)</t>
  </si>
  <si>
    <t>Бізнес МІСТО</t>
  </si>
  <si>
    <t>-4% * у разі наявності у позичальника щонайменше 1-го офіційно найманого працівника</t>
  </si>
  <si>
    <t>на здійснення підприємницької діяльності в сільській місцевості (село, селище, смт)</t>
  </si>
  <si>
    <t>3 міс.% далі ануітет</t>
  </si>
  <si>
    <t>Назва програми</t>
  </si>
  <si>
    <t>Назва прграми для вибору в калькуляторі</t>
  </si>
  <si>
    <t>на здійснення підприємницької діяльності в місті</t>
  </si>
  <si>
    <t>4 міс.% далі ануітет</t>
  </si>
  <si>
    <t xml:space="preserve"> </t>
  </si>
  <si>
    <t>платежі</t>
  </si>
  <si>
    <t>Оберіть кредитний продукт</t>
  </si>
  <si>
    <r>
      <t>Процентна ставка</t>
    </r>
    <r>
      <rPr>
        <sz val="10"/>
        <color rgb="FF000000"/>
        <rFont val="Arial"/>
        <family val="2"/>
        <charset val="204"/>
      </rPr>
      <t xml:space="preserve"> (% річних)</t>
    </r>
  </si>
  <si>
    <t>Введіть строк кредиту (міс.)</t>
  </si>
  <si>
    <r>
      <t xml:space="preserve">Комісія </t>
    </r>
    <r>
      <rPr>
        <sz val="10"/>
        <color rgb="FF000000"/>
        <rFont val="Arial"/>
        <family val="2"/>
        <charset val="204"/>
      </rPr>
      <t>(разова)</t>
    </r>
  </si>
  <si>
    <r>
      <t>Комісія</t>
    </r>
    <r>
      <rPr>
        <sz val="10"/>
        <color rgb="FF000000"/>
        <rFont val="Arial"/>
        <family val="2"/>
        <charset val="204"/>
      </rPr>
      <t xml:space="preserve"> (щомісячна)</t>
    </r>
  </si>
  <si>
    <t>застава майна</t>
  </si>
  <si>
    <t>застава депозиту</t>
  </si>
  <si>
    <t>Додаткові та/або супутні послуги:</t>
  </si>
  <si>
    <t>8540,00 * нотаріальні послуги</t>
  </si>
  <si>
    <t>Особливі умови:</t>
  </si>
  <si>
    <t>2. РЕЗУЛЬТАТИ РОЗРАХУНКУ *</t>
  </si>
  <si>
    <r>
      <t xml:space="preserve">Реальна річна процентна ставка
</t>
    </r>
    <r>
      <rPr>
        <sz val="10"/>
        <color rgb="FF000000"/>
        <rFont val="Arial"/>
        <family val="2"/>
        <charset val="204"/>
      </rPr>
      <t xml:space="preserve"> (% річних):</t>
    </r>
  </si>
  <si>
    <t>Загальна вартість кредиту:</t>
  </si>
  <si>
    <t>Загальні витрати за кредитом:</t>
  </si>
  <si>
    <t>-помилка введення</t>
  </si>
  <si>
    <t>-2,5% * програма лояльності</t>
  </si>
  <si>
    <t>Кількість платежів:</t>
  </si>
  <si>
    <t>УМОВИ</t>
  </si>
  <si>
    <t>КРЕДИТНИХ
ПРОГРАМ</t>
  </si>
  <si>
    <t>РОЗРАХУНКИ</t>
  </si>
  <si>
    <t>НАЛАШТУВАННЯ</t>
  </si>
  <si>
    <t>* Орієнтовно на дату розрахунку, конкретні умови кредитування будуть зазначені в паспорті споживчого кредиту в день оформлення кредитної заявки. 
Приклад розрахунку носить виключно інформаційний характер.
Наведені приклади результатів розрахунків калькулятора базуються на припущенні, що кредит позичальником буде отримано в повному обсязі відповідно до суми, встановленої кредитним договором, а погашення кредиту буде проводитись відповідно до графіку, визначеного кредитним договором, кредитний договір залишатиметься дійсним протягом всього строку кредитування, а кредитна спілка і споживач виконають свої обов’язки на умовах та у строки, визначені в кредитному договорі.
Обчислення загальної вартості кредиту встановлені для кредитування за кредитною лінією, що унеможливлює встановлення чіткого розміру майбутніх платежів, та встановлює лише планові платежі за договором на дату його укладення виходячи із можливості отримання усієї суми кредиту згідно із лімітом – фактичні суми платежів та їх строки можуть відрізнятись від планових та визначаються в залежності від отриманих позичальником сум кредиту в межах ліміту та їх кількості.
Обчислення загальних витрат за споживчим кредитом базуються на припущенні, що платежі за послуги кредитної спілки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дають змогу змінювати процентну ставку та/або інші платежі за послуги кредитної спілки, уключені до загальних витрат за споживчим кредитом, і такі зміни не можуть бути визначені на момент обчислення загальної вартості кредиту та реальної річної процентної ставки.
Орієнтовна вартість додаткових та/або супутніх послуг третіх осіб визначається кредитною спілкою за аналогічними, вже укладеними договорами про споживчий кредит за попередні три місяці, або у разі відсутності таких договорів за середньою вартістю такої послуги, визначеною кредитною спілкою за результатами аналізу вартості послуг, що пропонуються щонайменше трьома постачальниками на ринку таких послуг.</t>
  </si>
  <si>
    <t>Можливі знижки:</t>
  </si>
  <si>
    <t>кредитний продукт для членів кредитної спілки: військовослужбовців, учасників бойових дій, працівників Національної поліції України, працівників Національної гвардії України, членів їх сімей</t>
  </si>
  <si>
    <t>хочуАВТО</t>
  </si>
  <si>
    <t>ХОЧУ АВТО                    (споживчий)</t>
  </si>
  <si>
    <t>ФЕРМЕР</t>
  </si>
  <si>
    <t>АгроГарант</t>
  </si>
  <si>
    <t>Зобов’язання за цим договором може бути забезпечене частковою гарантією Фонду у розмірі 50% від суми кредиту у випадку відповідності позичальника всім вимогам Критеріїв прийнятності суб’єктів підприємництва (для роботи з кредитними спілками та фінансовими компаніями, які мають право надавати кошти та банківські метали у кредит), розміщеним на офіційному вебресурсі Фонду.</t>
  </si>
  <si>
    <t xml:space="preserve">ФЕРМЕР </t>
  </si>
  <si>
    <t xml:space="preserve">ОСГ Селянський </t>
  </si>
  <si>
    <t xml:space="preserve">Бізнес СЕЛО </t>
  </si>
  <si>
    <t xml:space="preserve">Бізнес МІСТО </t>
  </si>
  <si>
    <t>ОСГ СЕЛЯНСЬКИЙ          (споживчий)</t>
  </si>
  <si>
    <t>ОСГ Селянський пільговий графік</t>
  </si>
  <si>
    <t>Бізнес СЕЛО пільговий графік</t>
  </si>
  <si>
    <t>Бізнес МІСТО пільговий графік</t>
  </si>
  <si>
    <t>ФЕРМЕР пільговий графік</t>
  </si>
  <si>
    <t>АгроГарант пільговий графік</t>
  </si>
  <si>
    <t>БІЗНЕС СЕЛО                 (бізнес)</t>
  </si>
  <si>
    <t>БІЗНЕС МІСТО               (бізнес)</t>
  </si>
  <si>
    <t>ФЕРМЕР                          (бізнес)               пільговий графік</t>
  </si>
  <si>
    <t>ФЕРМЕР                         (бізнес)</t>
  </si>
  <si>
    <t>АгроГарант                  (бізнес)</t>
  </si>
  <si>
    <t>БІЗНЕС МІСТО              (бізнес)               пільговий графік</t>
  </si>
  <si>
    <t>БІЗНЕС СЕЛО                 (бізнес)              пільговий графік</t>
  </si>
  <si>
    <t>АгроГарант                  (бізнес)                пільговий графік</t>
  </si>
  <si>
    <t>ОСГ СЕЛЯНСЬКИЙ           (споживчий)   пільговий графік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</si>
</sst>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0.00\ _₴_-;\-* #,##0.00\ _₴_-;_-* &quot;-&quot;??\ _₴_-;_-@_-"/>
    <numFmt numFmtId="166" formatCode="0.0%"/>
  </numFmts>
  <fonts count="19" x14ac:knownFonts="1">
    <font>
      <sz val="10"/>
      <color rgb="FF000000"/>
      <name val="Georgia"/>
      <scheme val="minor"/>
    </font>
    <font>
      <sz val="10"/>
      <color rgb="FF000000"/>
      <name val="Georgia"/>
      <family val="1"/>
      <charset val="204"/>
      <scheme val="minor"/>
    </font>
    <font>
      <sz val="10"/>
      <color rgb="FF000000"/>
      <name val="Georgia"/>
      <family val="1"/>
      <charset val="204"/>
      <scheme val="minor"/>
    </font>
    <font>
      <b/>
      <sz val="10"/>
      <color rgb="FF000000"/>
      <name val="Georgia"/>
      <family val="1"/>
      <charset val="204"/>
      <scheme val="minor"/>
    </font>
    <font>
      <sz val="8"/>
      <color rgb="FF0070C0"/>
      <name val="Arial"/>
      <family val="2"/>
      <charset val="204"/>
    </font>
    <font>
      <sz val="10"/>
      <color rgb="FF000000"/>
      <name val="Arial"/>
      <family val="2"/>
      <charset val="204"/>
    </font>
    <font>
      <b/>
      <sz val="10"/>
      <color rgb="FF000000"/>
      <name val="Arial"/>
      <family val="2"/>
      <charset val="204"/>
    </font>
    <font>
      <sz val="10"/>
      <color rgb="FF000000"/>
      <name val="Georgia"/>
      <family val="2"/>
      <charset val="204"/>
      <scheme val="minor"/>
    </font>
    <font>
      <sz val="11"/>
      <color rgb="FF000000"/>
      <name val="Times New Roman"/>
      <family val="1"/>
      <charset val="204"/>
    </font>
    <font>
      <sz val="8"/>
      <color rgb="FF000000"/>
      <name val="Arial"/>
      <family val="2"/>
      <charset val="204"/>
    </font>
    <font>
      <b/>
      <sz val="11"/>
      <color rgb="FF000000"/>
      <name val="Times New Roman"/>
      <family val="1"/>
      <charset val="204"/>
    </font>
    <font>
      <b/>
      <sz val="10"/>
      <name val="Calibri"/>
      <family val="2"/>
      <charset val="204"/>
    </font>
    <font>
      <b/>
      <sz val="8"/>
      <color rgb="FF000000"/>
      <name val="Times New Roman"/>
      <family val="1"/>
      <charset val="204"/>
    </font>
    <font>
      <b/>
      <sz val="9"/>
      <color rgb="FF000000"/>
      <name val="Arial"/>
      <family val="2"/>
      <charset val="204"/>
    </font>
    <font>
      <sz val="9"/>
      <color rgb="FF000000"/>
      <name val="Arial"/>
      <family val="2"/>
      <charset val="204"/>
    </font>
    <font>
      <sz val="9"/>
      <color rgb="FF000000"/>
      <name val="Georgia"/>
      <family val="1"/>
      <charset val="204"/>
      <scheme val="major"/>
    </font>
    <font>
      <sz val="8"/>
      <name val="Arial"/>
      <family val="2"/>
      <charset val="204"/>
    </font>
    <font>
      <b/>
      <sz val="30"/>
      <color rgb="FF000000"/>
      <name val="Arial"/>
      <family val="2"/>
      <charset val="204"/>
    </font>
    <font>
      <sz val="16"/>
      <color rgb="FF000000"/>
      <name val="Arial"/>
      <family val="2"/>
      <charset val="204"/>
    </font>
  </fonts>
  <fills count="10">
    <fill>
      <patternFill patternType="none"/>
    </fill>
    <fill>
      <patternFill patternType="gray125"/>
    </fill>
    <fill>
      <patternFill patternType="solid">
        <fgColor rgb="FFFFC00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right/>
      <top/>
      <bottom style="thin">
        <color rgb="FF000000"/>
      </bottom>
      <diagonal/>
    </border>
  </borders>
  <cellStyleXfs count="3">
    <xf numFmtId="0" fontId="0" fillId="0" borderId="0"/>
    <xf numFmtId="0" fontId="7" fillId="0" borderId="0"/>
    <xf numFmtId="9" fontId="1" fillId="0" borderId="0" applyFont="0" applyFill="0" applyBorder="0" applyAlignment="0" applyProtection="0"/>
  </cellStyleXfs>
  <cellXfs count="124">
    <xf numFmtId="0" fontId="0" fillId="0" borderId="0" xfId="0"/>
    <xf numFmtId="0" fontId="0" fillId="0" borderId="1" xfId="0" applyBorder="1"/>
    <xf numFmtId="0" fontId="2" fillId="0" borderId="0" xfId="0" applyFont="1"/>
    <xf numFmtId="0" fontId="3" fillId="0" borderId="0" xfId="0" applyFont="1" applyAlignment="1">
      <alignment wrapText="1"/>
    </xf>
    <xf numFmtId="0" fontId="2" fillId="0" borderId="0" xfId="0" applyFont="1" applyAlignment="1">
      <alignment wrapText="1"/>
    </xf>
    <xf numFmtId="0" fontId="0" fillId="0" borderId="0" xfId="0" applyAlignment="1">
      <alignment wrapText="1"/>
    </xf>
    <xf numFmtId="0" fontId="0" fillId="2" borderId="0" xfId="0" applyFill="1"/>
    <xf numFmtId="0" fontId="0" fillId="3" borderId="0" xfId="0" applyFill="1"/>
    <xf numFmtId="0" fontId="0" fillId="0" borderId="2" xfId="0" applyBorder="1"/>
    <xf numFmtId="9" fontId="1" fillId="0" borderId="1" xfId="2" applyFont="1" applyBorder="1" applyAlignment="1"/>
    <xf numFmtId="0" fontId="0" fillId="4" borderId="2" xfId="0" applyFill="1" applyBorder="1"/>
    <xf numFmtId="0" fontId="0" fillId="5" borderId="2" xfId="0" applyFill="1" applyBorder="1"/>
    <xf numFmtId="9" fontId="1" fillId="0" borderId="2" xfId="2" applyFont="1" applyFill="1" applyBorder="1" applyAlignment="1"/>
    <xf numFmtId="10" fontId="1" fillId="0" borderId="2" xfId="2" applyNumberFormat="1" applyFont="1" applyFill="1" applyBorder="1" applyAlignment="1"/>
    <xf numFmtId="0" fontId="0" fillId="0" borderId="1" xfId="0" applyBorder="1" applyAlignment="1">
      <alignment horizontal="left"/>
    </xf>
    <xf numFmtId="0" fontId="0" fillId="0" borderId="0" xfId="0" applyAlignment="1">
      <alignment horizontal="left"/>
    </xf>
    <xf numFmtId="0" fontId="15" fillId="0" borderId="1" xfId="0" applyFont="1" applyBorder="1"/>
    <xf numFmtId="0" fontId="5" fillId="0" borderId="0" xfId="0" applyFont="1" applyProtection="1">
      <protection hidden="1"/>
    </xf>
    <xf numFmtId="0" fontId="5" fillId="7" borderId="0" xfId="0" applyFont="1" applyFill="1" applyProtection="1">
      <protection hidden="1"/>
    </xf>
    <xf numFmtId="0" fontId="5" fillId="6" borderId="0" xfId="0" applyFont="1" applyFill="1" applyProtection="1">
      <protection hidden="1"/>
    </xf>
    <xf numFmtId="0" fontId="5" fillId="0" borderId="13" xfId="0" applyFont="1" applyBorder="1" applyProtection="1">
      <protection hidden="1"/>
    </xf>
    <xf numFmtId="0" fontId="4" fillId="0" borderId="0" xfId="0" applyFont="1" applyAlignment="1" applyProtection="1">
      <alignment horizontal="center"/>
      <protection hidden="1"/>
    </xf>
    <xf numFmtId="3" fontId="4" fillId="0" borderId="0" xfId="0" applyNumberFormat="1" applyFont="1" applyAlignment="1" applyProtection="1">
      <alignment horizontal="center"/>
      <protection hidden="1"/>
    </xf>
    <xf numFmtId="0" fontId="5" fillId="0" borderId="2" xfId="0" applyFont="1" applyBorder="1" applyProtection="1">
      <protection hidden="1"/>
    </xf>
    <xf numFmtId="10" fontId="5" fillId="0" borderId="0" xfId="0" applyNumberFormat="1" applyFont="1" applyProtection="1">
      <protection hidden="1"/>
    </xf>
    <xf numFmtId="0" fontId="4" fillId="0" borderId="15" xfId="0" applyFont="1" applyBorder="1" applyAlignment="1" applyProtection="1">
      <alignment horizontal="center"/>
      <protection hidden="1"/>
    </xf>
    <xf numFmtId="1" fontId="4" fillId="0" borderId="15" xfId="0" applyNumberFormat="1" applyFont="1" applyBorder="1" applyAlignment="1" applyProtection="1">
      <alignment horizontal="center"/>
      <protection hidden="1"/>
    </xf>
    <xf numFmtId="0" fontId="5" fillId="0" borderId="14" xfId="0" applyFont="1" applyBorder="1" applyProtection="1">
      <protection hidden="1"/>
    </xf>
    <xf numFmtId="10" fontId="5" fillId="0" borderId="16" xfId="0" applyNumberFormat="1" applyFont="1" applyBorder="1" applyProtection="1">
      <protection hidden="1"/>
    </xf>
    <xf numFmtId="0" fontId="5" fillId="0" borderId="16" xfId="0" applyFont="1" applyBorder="1" applyProtection="1">
      <protection hidden="1"/>
    </xf>
    <xf numFmtId="164" fontId="5" fillId="0" borderId="0" xfId="0" applyNumberFormat="1" applyFont="1" applyProtection="1">
      <protection hidden="1"/>
    </xf>
    <xf numFmtId="0" fontId="9" fillId="0" borderId="16" xfId="0" applyFont="1" applyBorder="1" applyProtection="1">
      <protection hidden="1"/>
    </xf>
    <xf numFmtId="0" fontId="9" fillId="0" borderId="15" xfId="0" applyFont="1" applyBorder="1" applyProtection="1">
      <protection hidden="1"/>
    </xf>
    <xf numFmtId="0" fontId="5" fillId="0" borderId="15" xfId="0" applyFont="1" applyBorder="1" applyProtection="1">
      <protection hidden="1"/>
    </xf>
    <xf numFmtId="0" fontId="9" fillId="0" borderId="17" xfId="0" applyFont="1" applyBorder="1" applyProtection="1">
      <protection hidden="1"/>
    </xf>
    <xf numFmtId="0" fontId="5" fillId="0" borderId="17" xfId="0" applyFont="1" applyBorder="1" applyProtection="1">
      <protection hidden="1"/>
    </xf>
    <xf numFmtId="0" fontId="9" fillId="0" borderId="0" xfId="0" applyFont="1" applyProtection="1">
      <protection hidden="1"/>
    </xf>
    <xf numFmtId="0" fontId="5" fillId="0" borderId="0" xfId="0" applyFont="1" applyAlignment="1" applyProtection="1">
      <alignment vertical="top"/>
      <protection hidden="1"/>
    </xf>
    <xf numFmtId="165" fontId="5" fillId="0" borderId="17" xfId="0" applyNumberFormat="1" applyFont="1" applyBorder="1" applyProtection="1">
      <protection hidden="1"/>
    </xf>
    <xf numFmtId="9" fontId="5" fillId="0" borderId="0" xfId="0" applyNumberFormat="1" applyFont="1" applyProtection="1">
      <protection hidden="1"/>
    </xf>
    <xf numFmtId="10" fontId="5" fillId="0" borderId="16" xfId="2" applyNumberFormat="1" applyFont="1" applyBorder="1" applyAlignment="1" applyProtection="1">
      <alignment vertical="center"/>
      <protection hidden="1"/>
    </xf>
    <xf numFmtId="165" fontId="5" fillId="0" borderId="16" xfId="0" applyNumberFormat="1" applyFont="1" applyBorder="1" applyProtection="1">
      <protection hidden="1"/>
    </xf>
    <xf numFmtId="0" fontId="5" fillId="0" borderId="1" xfId="0" applyFont="1" applyBorder="1" applyProtection="1">
      <protection hidden="1"/>
    </xf>
    <xf numFmtId="0" fontId="8" fillId="0" borderId="5" xfId="1" applyFont="1" applyBorder="1" applyAlignment="1" applyProtection="1">
      <alignment horizontal="center" vertical="center"/>
      <protection hidden="1"/>
    </xf>
    <xf numFmtId="14" fontId="8" fillId="0" borderId="6" xfId="1" applyNumberFormat="1" applyFont="1" applyBorder="1" applyAlignment="1" applyProtection="1">
      <alignment horizontal="center" vertical="center"/>
      <protection hidden="1"/>
    </xf>
    <xf numFmtId="0" fontId="8" fillId="0" borderId="6" xfId="1" applyFont="1" applyBorder="1" applyAlignment="1" applyProtection="1">
      <alignment horizontal="center" vertical="center" wrapText="1"/>
      <protection hidden="1"/>
    </xf>
    <xf numFmtId="2" fontId="8" fillId="0" borderId="6" xfId="1" applyNumberFormat="1" applyFont="1" applyBorder="1" applyAlignment="1" applyProtection="1">
      <alignment horizontal="right" vertical="top"/>
      <protection hidden="1"/>
    </xf>
    <xf numFmtId="0" fontId="8" fillId="0" borderId="6" xfId="1" applyFont="1" applyBorder="1" applyAlignment="1" applyProtection="1">
      <alignment horizontal="center" vertical="top"/>
      <protection hidden="1"/>
    </xf>
    <xf numFmtId="2" fontId="8" fillId="0" borderId="6" xfId="1" applyNumberFormat="1" applyFont="1" applyBorder="1" applyAlignment="1" applyProtection="1">
      <alignment horizontal="center" vertical="top"/>
      <protection hidden="1"/>
    </xf>
    <xf numFmtId="14" fontId="5" fillId="0" borderId="0" xfId="0" applyNumberFormat="1" applyFont="1" applyProtection="1">
      <protection hidden="1"/>
    </xf>
    <xf numFmtId="0" fontId="5" fillId="0" borderId="0" xfId="0" applyFont="1" applyAlignment="1" applyProtection="1">
      <alignment horizontal="center"/>
      <protection hidden="1"/>
    </xf>
    <xf numFmtId="14" fontId="5" fillId="0" borderId="0" xfId="0" applyNumberFormat="1" applyFont="1" applyAlignment="1" applyProtection="1">
      <alignment horizontal="center"/>
      <protection hidden="1"/>
    </xf>
    <xf numFmtId="2" fontId="5" fillId="0" borderId="0" xfId="0" applyNumberFormat="1" applyFont="1" applyProtection="1">
      <protection hidden="1"/>
    </xf>
    <xf numFmtId="2" fontId="5" fillId="0" borderId="0" xfId="0" applyNumberFormat="1" applyFont="1" applyAlignment="1" applyProtection="1">
      <alignment horizontal="center"/>
      <protection hidden="1"/>
    </xf>
    <xf numFmtId="10" fontId="5" fillId="0" borderId="0" xfId="2" applyNumberFormat="1" applyFont="1" applyAlignment="1" applyProtection="1">
      <alignment horizontal="center"/>
      <protection hidden="1"/>
    </xf>
    <xf numFmtId="0" fontId="5" fillId="0" borderId="0" xfId="0" applyFont="1" applyProtection="1">
      <protection locked="0" hidden="1"/>
    </xf>
    <xf numFmtId="0" fontId="5" fillId="8" borderId="0" xfId="0" applyFont="1" applyFill="1" applyProtection="1">
      <protection hidden="1"/>
    </xf>
    <xf numFmtId="164" fontId="5" fillId="0" borderId="16" xfId="2" applyNumberFormat="1" applyFont="1" applyBorder="1" applyAlignment="1" applyProtection="1">
      <alignment vertical="center"/>
      <protection hidden="1"/>
    </xf>
    <xf numFmtId="0" fontId="2"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center"/>
    </xf>
    <xf numFmtId="166" fontId="1" fillId="0" borderId="2" xfId="2" applyNumberFormat="1" applyFont="1" applyFill="1" applyBorder="1" applyAlignment="1"/>
    <xf numFmtId="166" fontId="9" fillId="0" borderId="0" xfId="0" applyNumberFormat="1" applyFont="1" applyProtection="1">
      <protection hidden="1"/>
    </xf>
    <xf numFmtId="166" fontId="9" fillId="0" borderId="15" xfId="0" applyNumberFormat="1" applyFont="1" applyBorder="1" applyProtection="1">
      <protection hidden="1"/>
    </xf>
    <xf numFmtId="166" fontId="9" fillId="0" borderId="17" xfId="0" applyNumberFormat="1" applyFont="1" applyBorder="1" applyProtection="1">
      <protection hidden="1"/>
    </xf>
    <xf numFmtId="0" fontId="0" fillId="9" borderId="1" xfId="0" applyFill="1" applyBorder="1" applyAlignment="1">
      <alignment horizontal="left"/>
    </xf>
    <xf numFmtId="9" fontId="0" fillId="9" borderId="0" xfId="0" applyNumberFormat="1" applyFill="1" applyAlignment="1">
      <alignment horizontal="left"/>
    </xf>
    <xf numFmtId="1" fontId="0" fillId="9" borderId="0" xfId="0" applyNumberFormat="1" applyFill="1" applyAlignment="1">
      <alignment horizontal="left"/>
    </xf>
    <xf numFmtId="1" fontId="2" fillId="9" borderId="0" xfId="0" applyNumberFormat="1" applyFont="1" applyFill="1" applyAlignment="1">
      <alignment horizontal="left"/>
    </xf>
    <xf numFmtId="1" fontId="2" fillId="9" borderId="0" xfId="0" quotePrefix="1" applyNumberFormat="1" applyFont="1" applyFill="1" applyAlignment="1">
      <alignment horizontal="left"/>
    </xf>
    <xf numFmtId="0" fontId="0" fillId="9" borderId="0" xfId="0" applyFill="1" applyAlignment="1">
      <alignment horizontal="left"/>
    </xf>
    <xf numFmtId="0" fontId="2" fillId="9" borderId="0" xfId="0" applyFont="1" applyFill="1" applyAlignment="1">
      <alignment horizontal="left"/>
    </xf>
    <xf numFmtId="0" fontId="0" fillId="9" borderId="0" xfId="0" applyFill="1"/>
    <xf numFmtId="9" fontId="2" fillId="9" borderId="0" xfId="2" applyFont="1" applyFill="1" applyAlignment="1">
      <alignment horizontal="left"/>
    </xf>
    <xf numFmtId="10" fontId="0" fillId="9" borderId="0" xfId="0" applyNumberFormat="1" applyFill="1" applyAlignment="1">
      <alignment horizontal="left"/>
    </xf>
    <xf numFmtId="0" fontId="0" fillId="6" borderId="1" xfId="0" applyFill="1" applyBorder="1" applyAlignment="1">
      <alignment horizontal="left"/>
    </xf>
    <xf numFmtId="0" fontId="6" fillId="0" borderId="17" xfId="0" applyFont="1" applyBorder="1" applyAlignment="1" applyProtection="1">
      <alignment horizontal="right"/>
      <protection hidden="1"/>
    </xf>
    <xf numFmtId="0" fontId="6" fillId="0" borderId="16" xfId="0" applyFont="1" applyBorder="1" applyAlignment="1" applyProtection="1">
      <alignment horizontal="right" wrapText="1"/>
      <protection hidden="1"/>
    </xf>
    <xf numFmtId="0" fontId="6" fillId="0" borderId="16" xfId="0" applyFont="1" applyBorder="1" applyAlignment="1" applyProtection="1">
      <alignment horizontal="right"/>
      <protection hidden="1"/>
    </xf>
    <xf numFmtId="0" fontId="13" fillId="0" borderId="16" xfId="0" applyFont="1" applyBorder="1" applyAlignment="1" applyProtection="1">
      <alignment horizontal="right"/>
      <protection hidden="1"/>
    </xf>
    <xf numFmtId="0" fontId="6" fillId="0" borderId="0" xfId="0" applyFont="1" applyAlignment="1" applyProtection="1">
      <alignment horizontal="right"/>
      <protection hidden="1"/>
    </xf>
    <xf numFmtId="0" fontId="4" fillId="0" borderId="15" xfId="0" applyFont="1" applyBorder="1" applyAlignment="1" applyProtection="1">
      <alignment horizontal="right"/>
      <protection hidden="1"/>
    </xf>
    <xf numFmtId="0" fontId="6" fillId="0" borderId="15" xfId="0" applyFont="1" applyBorder="1" applyAlignment="1" applyProtection="1">
      <alignment horizontal="right"/>
      <protection hidden="1"/>
    </xf>
    <xf numFmtId="0" fontId="6" fillId="0" borderId="0" xfId="0" applyFont="1" applyAlignment="1" applyProtection="1">
      <alignment horizontal="right" vertical="top"/>
      <protection hidden="1"/>
    </xf>
    <xf numFmtId="0" fontId="5" fillId="0" borderId="0" xfId="0" applyFont="1" applyAlignment="1" applyProtection="1">
      <alignment horizontal="right" vertical="top"/>
      <protection hidden="1"/>
    </xf>
    <xf numFmtId="0" fontId="14" fillId="0" borderId="0" xfId="0" quotePrefix="1" applyFont="1" applyAlignment="1" applyProtection="1">
      <alignment vertical="center"/>
      <protection hidden="1"/>
    </xf>
    <xf numFmtId="0" fontId="5" fillId="0" borderId="0" xfId="0" quotePrefix="1" applyFont="1" applyAlignment="1" applyProtection="1">
      <alignment vertical="center"/>
      <protection hidden="1"/>
    </xf>
    <xf numFmtId="0" fontId="5" fillId="0" borderId="0" xfId="0" quotePrefix="1" applyFont="1" applyProtection="1">
      <protection hidden="1"/>
    </xf>
    <xf numFmtId="0" fontId="17" fillId="0" borderId="0" xfId="0" applyFont="1" applyAlignment="1" applyProtection="1">
      <alignment vertical="center"/>
      <protection hidden="1"/>
    </xf>
    <xf numFmtId="0" fontId="18" fillId="7" borderId="0" xfId="0" applyFont="1" applyFill="1" applyProtection="1">
      <protection hidden="1"/>
    </xf>
    <xf numFmtId="0" fontId="10" fillId="0" borderId="6" xfId="1" applyFont="1" applyBorder="1" applyAlignment="1" applyProtection="1">
      <alignment horizontal="center" vertical="center" textRotation="90" wrapText="1"/>
      <protection hidden="1"/>
    </xf>
    <xf numFmtId="0" fontId="10" fillId="0" borderId="5" xfId="1" applyFont="1" applyBorder="1" applyAlignment="1" applyProtection="1">
      <alignment horizontal="center" vertical="center"/>
      <protection hidden="1"/>
    </xf>
    <xf numFmtId="0" fontId="10" fillId="0" borderId="6" xfId="1" applyFont="1" applyBorder="1" applyAlignment="1" applyProtection="1">
      <alignment horizontal="center" vertical="center"/>
      <protection hidden="1"/>
    </xf>
    <xf numFmtId="0" fontId="10" fillId="0" borderId="6" xfId="1" applyFont="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16" fillId="0" borderId="18" xfId="0" applyFont="1" applyBorder="1" applyAlignment="1" applyProtection="1">
      <alignment vertical="center" wrapText="1"/>
      <protection hidden="1"/>
    </xf>
    <xf numFmtId="166" fontId="0" fillId="9" borderId="0" xfId="0" applyNumberFormat="1" applyFill="1" applyAlignment="1">
      <alignment horizontal="left"/>
    </xf>
    <xf numFmtId="1" fontId="2" fillId="9" borderId="0" xfId="0" applyNumberFormat="1" applyFont="1" applyFill="1" applyAlignment="1">
      <alignment horizontal="left" wrapText="1"/>
    </xf>
    <xf numFmtId="0" fontId="2" fillId="0" borderId="1" xfId="0" applyFont="1" applyBorder="1"/>
    <xf numFmtId="0" fontId="2" fillId="6" borderId="1" xfId="0" applyFont="1" applyFill="1" applyBorder="1" applyAlignment="1">
      <alignment horizontal="left"/>
    </xf>
    <xf numFmtId="0" fontId="10" fillId="0" borderId="4" xfId="1" applyFont="1" applyBorder="1" applyAlignment="1" applyProtection="1">
      <alignment horizontal="center" vertical="center" textRotation="90" wrapText="1"/>
      <protection hidden="1"/>
    </xf>
    <xf numFmtId="0" fontId="11" fillId="0" borderId="10" xfId="1" applyFont="1" applyBorder="1" applyAlignment="1" applyProtection="1">
      <alignment wrapText="1"/>
      <protection hidden="1"/>
    </xf>
    <xf numFmtId="0" fontId="11" fillId="0" borderId="12" xfId="1" applyFont="1" applyBorder="1" applyAlignment="1" applyProtection="1">
      <alignment wrapText="1"/>
      <protection hidden="1"/>
    </xf>
    <xf numFmtId="0" fontId="10" fillId="0" borderId="5" xfId="1" applyFont="1" applyBorder="1" applyAlignment="1" applyProtection="1">
      <alignment horizontal="center" vertical="center" wrapText="1"/>
      <protection hidden="1"/>
    </xf>
    <xf numFmtId="0" fontId="11" fillId="0" borderId="7" xfId="1" applyFont="1" applyBorder="1" applyAlignment="1" applyProtection="1">
      <alignment wrapText="1"/>
      <protection hidden="1"/>
    </xf>
    <xf numFmtId="0" fontId="11" fillId="0" borderId="8" xfId="1" applyFont="1" applyBorder="1" applyAlignment="1" applyProtection="1">
      <alignment wrapText="1"/>
      <protection hidden="1"/>
    </xf>
    <xf numFmtId="0" fontId="12" fillId="0" borderId="5" xfId="1" applyFont="1" applyBorder="1" applyAlignment="1" applyProtection="1">
      <alignment horizontal="center" vertical="center" wrapText="1"/>
      <protection hidden="1"/>
    </xf>
    <xf numFmtId="0" fontId="12" fillId="0" borderId="8" xfId="1" applyFont="1" applyBorder="1" applyAlignment="1" applyProtection="1">
      <alignment horizontal="center" vertical="center" wrapText="1"/>
      <protection hidden="1"/>
    </xf>
    <xf numFmtId="0" fontId="14" fillId="0" borderId="0" xfId="0" applyFont="1" applyAlignment="1" applyProtection="1">
      <alignment horizontal="left" vertical="center" wrapText="1"/>
      <protection hidden="1"/>
    </xf>
    <xf numFmtId="0" fontId="10" fillId="0" borderId="3" xfId="1" applyFont="1" applyBorder="1" applyAlignment="1" applyProtection="1">
      <alignment horizontal="center" vertical="center" textRotation="90" wrapText="1"/>
      <protection hidden="1"/>
    </xf>
    <xf numFmtId="0" fontId="11" fillId="0" borderId="9" xfId="1" applyFont="1" applyBorder="1" applyAlignment="1" applyProtection="1">
      <alignment wrapText="1"/>
      <protection hidden="1"/>
    </xf>
    <xf numFmtId="0" fontId="11" fillId="0" borderId="11" xfId="1" applyFont="1" applyBorder="1" applyAlignment="1" applyProtection="1">
      <alignment wrapText="1"/>
      <protection hidden="1"/>
    </xf>
    <xf numFmtId="0" fontId="16" fillId="0" borderId="0" xfId="0" applyFont="1" applyAlignment="1" applyProtection="1">
      <alignment horizontal="left" vertical="top" wrapText="1"/>
      <protection hidden="1"/>
    </xf>
    <xf numFmtId="0" fontId="16" fillId="0" borderId="18" xfId="0" applyFont="1" applyBorder="1" applyAlignment="1" applyProtection="1">
      <alignment horizontal="left" vertical="top" wrapText="1"/>
      <protection hidden="1"/>
    </xf>
    <xf numFmtId="0" fontId="9" fillId="0" borderId="0" xfId="0" applyFont="1" applyAlignment="1" applyProtection="1">
      <alignment horizontal="right" vertical="center" wrapText="1"/>
      <protection hidden="1"/>
    </xf>
    <xf numFmtId="0" fontId="9" fillId="0" borderId="17" xfId="0" applyFont="1" applyBorder="1" applyAlignment="1" applyProtection="1">
      <alignment horizontal="right" vertical="center" wrapText="1"/>
      <protection hidden="1"/>
    </xf>
    <xf numFmtId="0" fontId="6" fillId="0" borderId="15" xfId="0" applyFont="1" applyBorder="1" applyAlignment="1" applyProtection="1">
      <alignment horizontal="right"/>
      <protection hidden="1"/>
    </xf>
    <xf numFmtId="0" fontId="6" fillId="0" borderId="16" xfId="0" applyFont="1" applyBorder="1" applyAlignment="1" applyProtection="1">
      <alignment horizontal="right" wrapText="1"/>
      <protection hidden="1"/>
    </xf>
    <xf numFmtId="3" fontId="5" fillId="0" borderId="17" xfId="0" applyNumberFormat="1" applyFont="1" applyBorder="1" applyAlignment="1" applyProtection="1">
      <alignment horizontal="center"/>
      <protection locked="0" hidden="1"/>
    </xf>
    <xf numFmtId="0" fontId="5" fillId="0" borderId="17" xfId="0" applyFont="1" applyBorder="1" applyAlignment="1" applyProtection="1">
      <alignment horizontal="center"/>
      <protection locked="0" hidden="1"/>
    </xf>
    <xf numFmtId="0" fontId="5" fillId="0" borderId="0" xfId="0" applyFont="1" applyAlignment="1" applyProtection="1">
      <alignment horizontal="left" vertical="center"/>
      <protection hidden="1"/>
    </xf>
    <xf numFmtId="0" fontId="9" fillId="0" borderId="0" xfId="0" applyFont="1" applyAlignment="1" applyProtection="1">
      <alignment horizontal="left" vertical="top" wrapText="1"/>
      <protection hidden="1"/>
    </xf>
    <xf numFmtId="0" fontId="1" fillId="0" borderId="1" xfId="0" applyFont="1" applyBorder="1"/>
    <xf numFmtId="0" fontId="1" fillId="6" borderId="1" xfId="0" applyFont="1" applyFill="1" applyBorder="1" applyAlignment="1">
      <alignment horizontal="left"/>
    </xf>
  </cellXfs>
  <cellStyles count="3">
    <cellStyle name="Відсотковий" xfId="2" builtinId="5"/>
    <cellStyle name="Звичайний" xfId="0" builtinId="0"/>
    <cellStyle name="Обычный 2" xfId="1" xr:uid="{00000000-0005-0000-0000-000001000000}"/>
  </cellStyles>
  <dxfs count="10">
    <dxf>
      <font>
        <color rgb="FFFFFF00"/>
      </font>
      <fill>
        <patternFill>
          <bgColor rgb="FFFF0000"/>
        </patternFill>
      </fill>
    </dxf>
    <dxf>
      <font>
        <color rgb="FFFFFF00"/>
      </font>
      <fill>
        <patternFill>
          <bgColor rgb="FFFF00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indexed="64"/>
        </left>
        <right style="thin">
          <color indexed="64"/>
        </right>
        <top style="thin">
          <color indexed="64"/>
        </top>
        <bottom style="thin">
          <color indexed="64"/>
        </bottom>
      </border>
    </dxf>
    <dxf>
      <font>
        <b/>
        <i val="0"/>
        <color rgb="FFFF0000"/>
      </font>
    </dxf>
    <dxf>
      <fill>
        <patternFill>
          <bgColor rgb="FFFF0000"/>
        </patternFill>
      </fill>
    </dxf>
    <dxf>
      <fill>
        <patternFill>
          <bgColor rgb="FFFF0000"/>
        </patternFill>
      </fill>
    </dxf>
    <dxf>
      <border>
        <left style="thin">
          <color indexed="64"/>
        </left>
        <right style="thin">
          <color indexed="64"/>
        </right>
        <top style="thin">
          <color indexed="64"/>
        </top>
        <bottom style="thin">
          <color indexed="64"/>
        </bottom>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50" dropStyle="combo" dx="16" fmlaLink="$L$3" fmlaRange="SYS!$E$3:$E$21" noThreeD="1" sel="15" val="0"/>
</file>

<file path=xl/ctrlProps/ctrlProp2.xml><?xml version="1.0" encoding="utf-8"?>
<formControlPr xmlns="http://schemas.microsoft.com/office/spreadsheetml/2009/9/main" objectType="Drop" dropLines="40" dropStyle="combo" dx="16" fmlaLink="$L$4" fmlaRange="SYS!$AF$3:$AF$30" noThreeD="1" sel="27" val="0"/>
</file>

<file path=xl/ctrlProps/ctrlProp3.xml><?xml version="1.0" encoding="utf-8"?>
<formControlPr xmlns="http://schemas.microsoft.com/office/spreadsheetml/2009/9/main" objectType="CheckBox" fmlaLink="$F$14" lockText="1" noThreeD="1"/>
</file>

<file path=xl/ctrlProps/ctrlProp4.xml><?xml version="1.0" encoding="utf-8"?>
<formControlPr xmlns="http://schemas.microsoft.com/office/spreadsheetml/2009/9/main" objectType="CheckBox" fmlaLink="$F$16" lockText="1" noThreeD="1"/>
</file>

<file path=xl/ctrlProps/ctrlProp5.xml><?xml version="1.0" encoding="utf-8"?>
<formControlPr xmlns="http://schemas.microsoft.com/office/spreadsheetml/2009/9/main" objectType="CheckBox" fmlaLink="$F$15" lockText="1" noThreeD="1"/>
</file>

<file path=xl/ctrlProps/ctrlProp6.xml><?xml version="1.0" encoding="utf-8"?>
<formControlPr xmlns="http://schemas.microsoft.com/office/spreadsheetml/2009/9/main" objectType="Drop" dropStyle="combo" dx="16"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2</xdr:row>
          <xdr:rowOff>19050</xdr:rowOff>
        </xdr:from>
        <xdr:to>
          <xdr:col>15</xdr:col>
          <xdr:colOff>0</xdr:colOff>
          <xdr:row>3</xdr:row>
          <xdr:rowOff>9525</xdr:rowOff>
        </xdr:to>
        <xdr:sp macro="" textlink="">
          <xdr:nvSpPr>
            <xdr:cNvPr id="16390" name="Drop Down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xdr:row>
          <xdr:rowOff>9525</xdr:rowOff>
        </xdr:from>
        <xdr:to>
          <xdr:col>15</xdr:col>
          <xdr:colOff>0</xdr:colOff>
          <xdr:row>4</xdr:row>
          <xdr:rowOff>0</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152400</xdr:rowOff>
        </xdr:from>
        <xdr:to>
          <xdr:col>11</xdr:col>
          <xdr:colOff>247650</xdr:colOff>
          <xdr:row>14</xdr:row>
          <xdr:rowOff>9525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152400</xdr:rowOff>
        </xdr:from>
        <xdr:to>
          <xdr:col>11</xdr:col>
          <xdr:colOff>247650</xdr:colOff>
          <xdr:row>16</xdr:row>
          <xdr:rowOff>9525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152400</xdr:rowOff>
        </xdr:from>
        <xdr:to>
          <xdr:col>11</xdr:col>
          <xdr:colOff>247650</xdr:colOff>
          <xdr:row>15</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1</xdr:row>
          <xdr:rowOff>9525</xdr:rowOff>
        </xdr:from>
        <xdr:to>
          <xdr:col>17</xdr:col>
          <xdr:colOff>733425</xdr:colOff>
          <xdr:row>1</xdr:row>
          <xdr:rowOff>228600</xdr:rowOff>
        </xdr:to>
        <xdr:sp macro="" textlink="">
          <xdr:nvSpPr>
            <xdr:cNvPr id="16399" name="Drop Down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17</xdr:col>
      <xdr:colOff>561976</xdr:colOff>
      <xdr:row>1</xdr:row>
      <xdr:rowOff>190501</xdr:rowOff>
    </xdr:from>
    <xdr:to>
      <xdr:col>24</xdr:col>
      <xdr:colOff>742950</xdr:colOff>
      <xdr:row>10</xdr:row>
      <xdr:rowOff>9525</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9026" y="771526"/>
          <a:ext cx="5514974" cy="18859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Z152"/>
  <sheetViews>
    <sheetView showGridLines="0" showRowColHeaders="0" tabSelected="1" topLeftCell="I1" zoomScaleNormal="100" zoomScaleSheetLayoutView="100" workbookViewId="0">
      <selection activeCell="L6" sqref="L6:O6"/>
    </sheetView>
  </sheetViews>
  <sheetFormatPr defaultRowHeight="12.75" x14ac:dyDescent="0.2"/>
  <cols>
    <col min="1" max="8" width="8.88671875" style="17" hidden="1" customWidth="1"/>
    <col min="9" max="9" width="10.5546875" style="17" customWidth="1"/>
    <col min="10" max="10" width="9.77734375" style="17" customWidth="1"/>
    <col min="11" max="11" width="8.88671875" style="17"/>
    <col min="12" max="12" width="12.88671875" style="17" customWidth="1"/>
    <col min="13" max="13" width="10.77734375" style="17" customWidth="1"/>
    <col min="14" max="14" width="8.88671875" style="17"/>
    <col min="15" max="15" width="9.109375" style="17" bestFit="1" customWidth="1"/>
    <col min="16" max="16384" width="8.88671875" style="17"/>
  </cols>
  <sheetData>
    <row r="1" spans="3:25" ht="45.75" customHeight="1" x14ac:dyDescent="0.2">
      <c r="I1" s="88" t="s">
        <v>88</v>
      </c>
    </row>
    <row r="2" spans="3:25" ht="20.25" x14ac:dyDescent="0.3">
      <c r="I2" s="18"/>
      <c r="J2" s="89" t="s">
        <v>31</v>
      </c>
      <c r="K2" s="18"/>
      <c r="L2" s="18"/>
      <c r="M2" s="18"/>
      <c r="S2" s="85" t="s">
        <v>89</v>
      </c>
      <c r="U2" s="19"/>
      <c r="V2" s="86" t="s">
        <v>90</v>
      </c>
      <c r="X2" s="56"/>
      <c r="Y2" s="87" t="s">
        <v>118</v>
      </c>
    </row>
    <row r="3" spans="3:25" ht="18.75" customHeight="1" x14ac:dyDescent="0.2">
      <c r="I3" s="35"/>
      <c r="J3" s="35"/>
      <c r="K3" s="76" t="s">
        <v>104</v>
      </c>
      <c r="L3" s="55">
        <v>15</v>
      </c>
      <c r="M3" s="55"/>
      <c r="N3" s="55"/>
      <c r="O3" s="55"/>
    </row>
    <row r="4" spans="3:25" ht="18.75" customHeight="1" x14ac:dyDescent="0.2">
      <c r="K4" s="80" t="s">
        <v>105</v>
      </c>
      <c r="L4" s="55">
        <v>27</v>
      </c>
      <c r="M4" s="55"/>
      <c r="N4" s="55"/>
      <c r="O4" s="55"/>
    </row>
    <row r="5" spans="3:25" x14ac:dyDescent="0.2">
      <c r="C5" s="20" t="s">
        <v>87</v>
      </c>
      <c r="D5" s="20" t="s">
        <v>86</v>
      </c>
      <c r="I5" s="33"/>
      <c r="J5" s="33"/>
      <c r="K5" s="81" t="s">
        <v>26</v>
      </c>
      <c r="L5" s="21" t="s">
        <v>27</v>
      </c>
      <c r="M5" s="22" t="str">
        <f>IFERROR(SYS!AJ51,"")</f>
        <v/>
      </c>
      <c r="N5" s="21" t="s">
        <v>28</v>
      </c>
      <c r="O5" s="22" t="str">
        <f>IFERROR(SYS!AK51,"")</f>
        <v/>
      </c>
      <c r="P5" s="108" t="str">
        <f>IF(C6=-1,"некоректна сума кредиту","грн")</f>
        <v>грн</v>
      </c>
    </row>
    <row r="6" spans="3:25" ht="18.75" customHeight="1" x14ac:dyDescent="0.2">
      <c r="C6" s="23">
        <f>IF(L6=0,0,IF(L6&gt;=M5,IF(L6&lt;=O5,1,-1),-1))</f>
        <v>0</v>
      </c>
      <c r="D6" s="23">
        <f>IF(L6&gt;=M5,IF(L6&lt;=O5,L6,0),0)</f>
        <v>0</v>
      </c>
      <c r="E6" s="24">
        <f>SYS!AG51</f>
        <v>0</v>
      </c>
      <c r="I6" s="35"/>
      <c r="J6" s="35"/>
      <c r="K6" s="76" t="s">
        <v>7</v>
      </c>
      <c r="L6" s="118"/>
      <c r="M6" s="118"/>
      <c r="N6" s="118"/>
      <c r="O6" s="118"/>
      <c r="P6" s="108"/>
    </row>
    <row r="7" spans="3:25" x14ac:dyDescent="0.2">
      <c r="C7" s="23"/>
      <c r="D7" s="23"/>
      <c r="I7" s="33"/>
      <c r="J7" s="33"/>
      <c r="K7" s="81" t="s">
        <v>29</v>
      </c>
      <c r="L7" s="25" t="s">
        <v>27</v>
      </c>
      <c r="M7" s="26" t="str">
        <f>IFERROR(SYS!AL51,"")</f>
        <v/>
      </c>
      <c r="N7" s="25" t="s">
        <v>28</v>
      </c>
      <c r="O7" s="26" t="str">
        <f>IFERROR(SYS!AM51,"")</f>
        <v/>
      </c>
      <c r="P7" s="120" t="str">
        <f>IF(C8=-1,"некоректний термін","місяців")</f>
        <v>місяців</v>
      </c>
    </row>
    <row r="8" spans="3:25" ht="20.25" customHeight="1" x14ac:dyDescent="0.2">
      <c r="C8" s="27">
        <f>IF(L8=0,0,IF(L8&gt;=M7,IF(L8&lt;=O7,1,-1),-1))</f>
        <v>0</v>
      </c>
      <c r="D8" s="27">
        <f>IF(L8&gt;=M7,IF(L8&lt;=O7,L8,0),0)</f>
        <v>0</v>
      </c>
      <c r="I8" s="35"/>
      <c r="J8" s="35"/>
      <c r="K8" s="76" t="s">
        <v>106</v>
      </c>
      <c r="L8" s="119"/>
      <c r="M8" s="119"/>
      <c r="N8" s="119"/>
      <c r="O8" s="119"/>
      <c r="P8" s="120"/>
    </row>
    <row r="9" spans="3:25" ht="20.25" customHeight="1" x14ac:dyDescent="0.2">
      <c r="I9" s="29"/>
      <c r="J9" s="29"/>
      <c r="K9" s="78" t="s">
        <v>107</v>
      </c>
      <c r="L9" s="28" t="str">
        <f>IFERROR(SYS!AH51,"")</f>
        <v/>
      </c>
      <c r="M9" s="29"/>
      <c r="N9" s="29"/>
      <c r="O9" s="29"/>
    </row>
    <row r="10" spans="3:25" ht="20.25" customHeight="1" x14ac:dyDescent="0.2">
      <c r="K10" s="80" t="s">
        <v>108</v>
      </c>
      <c r="L10" s="24" t="str">
        <f>IFERROR(SYS!AI51,"")</f>
        <v/>
      </c>
      <c r="M10" s="30" t="str">
        <f>IFERROR(SYS!AV51,"")</f>
        <v/>
      </c>
    </row>
    <row r="11" spans="3:25" ht="20.25" customHeight="1" x14ac:dyDescent="0.2">
      <c r="I11" s="29"/>
      <c r="J11" s="29"/>
      <c r="K11" s="78" t="s">
        <v>30</v>
      </c>
      <c r="L11" s="31" t="str">
        <f>IFERROR(SYS!AN51,"")</f>
        <v/>
      </c>
      <c r="M11" s="29"/>
      <c r="N11" s="29"/>
      <c r="O11" s="29"/>
    </row>
    <row r="12" spans="3:25" ht="20.25" customHeight="1" x14ac:dyDescent="0.2">
      <c r="I12" s="33"/>
      <c r="J12" s="33"/>
      <c r="K12" s="82" t="s">
        <v>111</v>
      </c>
      <c r="L12" s="32" t="str">
        <f>SYS!AR52</f>
        <v/>
      </c>
      <c r="M12" s="33"/>
      <c r="N12" s="33"/>
      <c r="O12" s="33"/>
    </row>
    <row r="13" spans="3:25" x14ac:dyDescent="0.2">
      <c r="I13" s="35"/>
      <c r="J13" s="35"/>
      <c r="K13" s="35"/>
      <c r="L13" s="34" t="str">
        <f>SYS!AS52</f>
        <v/>
      </c>
      <c r="M13" s="35"/>
      <c r="N13" s="35"/>
      <c r="O13" s="35"/>
    </row>
    <row r="14" spans="3:25" ht="12.75" customHeight="1" x14ac:dyDescent="0.2">
      <c r="D14" s="17">
        <f>IF(F14,1,0)</f>
        <v>0</v>
      </c>
      <c r="E14" s="17">
        <f>IF(F14,IF(LEN(L14)=0,1,0),0)</f>
        <v>0</v>
      </c>
      <c r="F14" s="55" t="b">
        <v>0</v>
      </c>
      <c r="I14" s="116" t="s">
        <v>126</v>
      </c>
      <c r="J14" s="116"/>
      <c r="K14" s="116"/>
      <c r="L14" s="63" t="str">
        <f>IF(LEN(M14)&gt;2,SYS!AO53,"")</f>
        <v/>
      </c>
      <c r="M14" s="32" t="str">
        <f>SYS!AO52</f>
        <v/>
      </c>
      <c r="N14" s="33"/>
      <c r="O14" s="33"/>
    </row>
    <row r="15" spans="3:25" x14ac:dyDescent="0.2">
      <c r="D15" s="17">
        <f>IF(F15,1,0)</f>
        <v>0</v>
      </c>
      <c r="E15" s="17">
        <f t="shared" ref="E15:E16" si="0">IF(F15,IF(LEN(L15)=0,1,0),0)</f>
        <v>0</v>
      </c>
      <c r="F15" s="55" t="b">
        <v>0</v>
      </c>
      <c r="I15" s="114" t="str">
        <f>IF(SUM(D14:D16)&gt;1,"БУДЬ-ЛАСКА, оберіть лише одну із запропонованих знижок","(якщо є наявна знижка, то виберіть якою скористатися щоб порахувати в калькуляторі):")</f>
        <v>(якщо є наявна знижка, то виберіть якою скористатися щоб порахувати в калькуляторі):</v>
      </c>
      <c r="J15" s="114"/>
      <c r="K15" s="114"/>
      <c r="L15" s="62" t="str">
        <f>IF(LEN(M15)&gt;2,SYS!AP53,"")</f>
        <v/>
      </c>
      <c r="M15" s="36" t="str">
        <f>SYS!AP52</f>
        <v/>
      </c>
    </row>
    <row r="16" spans="3:25" x14ac:dyDescent="0.2">
      <c r="D16" s="17">
        <f>IF(F16,1,0)</f>
        <v>0</v>
      </c>
      <c r="E16" s="17">
        <f t="shared" si="0"/>
        <v>0</v>
      </c>
      <c r="F16" s="55" t="b">
        <v>0</v>
      </c>
      <c r="I16" s="115"/>
      <c r="J16" s="115"/>
      <c r="K16" s="115"/>
      <c r="L16" s="64" t="str">
        <f>IF(LEN(M16)&gt;2,SYS!AQ53,"")</f>
        <v/>
      </c>
      <c r="M16" s="34" t="str">
        <f>SYS!AQ52</f>
        <v/>
      </c>
      <c r="N16" s="35"/>
      <c r="O16" s="35"/>
    </row>
    <row r="17" spans="1:26" s="37" customFormat="1" ht="17.25" customHeight="1" x14ac:dyDescent="0.2">
      <c r="K17" s="83" t="s">
        <v>113</v>
      </c>
      <c r="L17" s="121" t="e">
        <f>SYS!AT51</f>
        <v>#N/A</v>
      </c>
      <c r="M17" s="121"/>
      <c r="N17" s="121"/>
      <c r="O17" s="121"/>
      <c r="P17" s="121"/>
      <c r="Q17" s="121"/>
      <c r="R17" s="121"/>
      <c r="S17" s="121"/>
      <c r="T17" s="121"/>
      <c r="U17" s="121"/>
      <c r="V17" s="121"/>
      <c r="W17" s="121"/>
      <c r="X17" s="121"/>
      <c r="Y17" s="121"/>
      <c r="Z17" s="121"/>
    </row>
    <row r="18" spans="1:26" s="37" customFormat="1" ht="17.25" customHeight="1" x14ac:dyDescent="0.2">
      <c r="K18" s="84"/>
      <c r="L18" s="121"/>
      <c r="M18" s="121"/>
      <c r="N18" s="121"/>
      <c r="O18" s="121"/>
      <c r="P18" s="121"/>
      <c r="Q18" s="121"/>
      <c r="R18" s="121"/>
      <c r="S18" s="121"/>
      <c r="T18" s="121"/>
      <c r="U18" s="121"/>
      <c r="V18" s="121"/>
      <c r="W18" s="121"/>
      <c r="X18" s="121"/>
      <c r="Y18" s="121"/>
      <c r="Z18" s="121"/>
    </row>
    <row r="19" spans="1:26" ht="20.25" customHeight="1" x14ac:dyDescent="0.3">
      <c r="I19" s="18"/>
      <c r="J19" s="89" t="s">
        <v>114</v>
      </c>
      <c r="K19" s="18"/>
      <c r="L19" s="18"/>
      <c r="M19" s="18"/>
      <c r="N19" s="112" t="s">
        <v>125</v>
      </c>
      <c r="O19" s="112"/>
      <c r="P19" s="112"/>
      <c r="Q19" s="112"/>
      <c r="R19" s="112"/>
      <c r="S19" s="112"/>
      <c r="T19" s="112"/>
      <c r="U19" s="112"/>
      <c r="V19" s="112"/>
      <c r="W19" s="112"/>
      <c r="X19" s="112"/>
      <c r="Y19" s="112"/>
      <c r="Z19" s="112"/>
    </row>
    <row r="20" spans="1:26" ht="20.25" customHeight="1" x14ac:dyDescent="0.2">
      <c r="I20" s="35"/>
      <c r="J20" s="35"/>
      <c r="K20" s="76" t="str">
        <f>IFERROR(IF(SYS!$AU$51="ануітет","Щомісячний платіж:","Щомісячний платіж (максимально)"),"Щомісячний платіж:")</f>
        <v>Щомісячний платіж:</v>
      </c>
      <c r="L20" s="38" t="str">
        <f>IFERROR(IF(SYS!AU51="ануітет",КАЛЬКУЛЯТОР!L33,MAXA(A32:A152)),"")</f>
        <v/>
      </c>
      <c r="M20" s="35" t="s">
        <v>1</v>
      </c>
      <c r="N20" s="112"/>
      <c r="O20" s="112"/>
      <c r="P20" s="112"/>
      <c r="Q20" s="112"/>
      <c r="R20" s="112"/>
      <c r="S20" s="112"/>
      <c r="T20" s="112"/>
      <c r="U20" s="112"/>
      <c r="V20" s="112"/>
      <c r="W20" s="112"/>
      <c r="X20" s="112"/>
      <c r="Y20" s="112"/>
      <c r="Z20" s="112"/>
    </row>
    <row r="21" spans="1:26" ht="29.25" customHeight="1" x14ac:dyDescent="0.2">
      <c r="F21" s="39"/>
      <c r="I21" s="117" t="s">
        <v>115</v>
      </c>
      <c r="J21" s="117"/>
      <c r="K21" s="117"/>
      <c r="L21" s="40" t="str">
        <f>IFERROR(XIRR(D32:D152,C32:C152,SYS!AG52),"")</f>
        <v/>
      </c>
      <c r="M21" s="29"/>
      <c r="N21" s="112"/>
      <c r="O21" s="112"/>
      <c r="P21" s="112"/>
      <c r="Q21" s="112"/>
      <c r="R21" s="112"/>
      <c r="S21" s="112"/>
      <c r="T21" s="112"/>
      <c r="U21" s="112"/>
      <c r="V21" s="112"/>
      <c r="W21" s="112"/>
      <c r="X21" s="112"/>
      <c r="Y21" s="112"/>
      <c r="Z21" s="112"/>
    </row>
    <row r="22" spans="1:26" ht="17.25" customHeight="1" x14ac:dyDescent="0.2">
      <c r="F22" s="39"/>
      <c r="I22" s="77"/>
      <c r="J22" s="77"/>
      <c r="K22" s="78" t="s">
        <v>120</v>
      </c>
      <c r="L22" s="57">
        <f>L8</f>
        <v>0</v>
      </c>
      <c r="M22" s="29"/>
      <c r="N22" s="112"/>
      <c r="O22" s="112"/>
      <c r="P22" s="112"/>
      <c r="Q22" s="112"/>
      <c r="R22" s="112"/>
      <c r="S22" s="112"/>
      <c r="T22" s="112"/>
      <c r="U22" s="112"/>
      <c r="V22" s="112"/>
      <c r="W22" s="112"/>
      <c r="X22" s="112"/>
      <c r="Y22" s="112"/>
      <c r="Z22" s="112"/>
    </row>
    <row r="23" spans="1:26" ht="27.75" customHeight="1" x14ac:dyDescent="0.2">
      <c r="I23" s="29"/>
      <c r="J23" s="29"/>
      <c r="K23" s="79" t="s">
        <v>116</v>
      </c>
      <c r="L23" s="41" t="str">
        <f>IFERROR(SUM(A33:A152)+SUM(P32:X32),"")</f>
        <v/>
      </c>
      <c r="M23" s="29" t="s">
        <v>1</v>
      </c>
      <c r="N23" s="112"/>
      <c r="O23" s="112"/>
      <c r="P23" s="112"/>
      <c r="Q23" s="112"/>
      <c r="R23" s="112"/>
      <c r="S23" s="112"/>
      <c r="T23" s="112"/>
      <c r="U23" s="112"/>
      <c r="V23" s="112"/>
      <c r="W23" s="112"/>
      <c r="X23" s="112"/>
      <c r="Y23" s="112"/>
      <c r="Z23" s="112"/>
    </row>
    <row r="24" spans="1:26" ht="27.75" customHeight="1" x14ac:dyDescent="0.2">
      <c r="I24" s="29"/>
      <c r="J24" s="29"/>
      <c r="K24" s="79" t="s">
        <v>117</v>
      </c>
      <c r="L24" s="41" t="str">
        <f>IFERROR(SUM(N33:N152)/2+SUM(P32:X32)+SUM(P32:P152)/2-P32,"")</f>
        <v/>
      </c>
      <c r="M24" s="29" t="s">
        <v>1</v>
      </c>
      <c r="N24" s="112"/>
      <c r="O24" s="112"/>
      <c r="P24" s="112"/>
      <c r="Q24" s="112"/>
      <c r="R24" s="112"/>
      <c r="S24" s="112"/>
      <c r="T24" s="112"/>
      <c r="U24" s="112"/>
      <c r="V24" s="112"/>
      <c r="W24" s="112"/>
      <c r="X24" s="112"/>
      <c r="Y24" s="112"/>
      <c r="Z24" s="112"/>
    </row>
    <row r="25" spans="1:26" ht="19.5" customHeight="1" x14ac:dyDescent="0.2">
      <c r="I25" s="94"/>
      <c r="J25" s="94"/>
      <c r="K25" s="94"/>
      <c r="L25" s="94"/>
      <c r="M25" s="94"/>
      <c r="N25" s="112"/>
      <c r="O25" s="112"/>
      <c r="P25" s="112"/>
      <c r="Q25" s="112"/>
      <c r="R25" s="112"/>
      <c r="S25" s="112"/>
      <c r="T25" s="112"/>
      <c r="U25" s="112"/>
      <c r="V25" s="112"/>
      <c r="W25" s="112"/>
      <c r="X25" s="112"/>
      <c r="Y25" s="112"/>
      <c r="Z25" s="112"/>
    </row>
    <row r="26" spans="1:26" ht="19.5" hidden="1" customHeight="1" x14ac:dyDescent="0.2">
      <c r="I26" s="95"/>
      <c r="J26" s="95"/>
      <c r="K26" s="95"/>
      <c r="L26" s="95"/>
      <c r="M26" s="95"/>
      <c r="N26" s="113"/>
      <c r="O26" s="113"/>
      <c r="P26" s="113"/>
      <c r="Q26" s="113"/>
      <c r="R26" s="113"/>
      <c r="S26" s="113"/>
      <c r="T26" s="113"/>
      <c r="U26" s="113"/>
      <c r="V26" s="113"/>
      <c r="W26" s="113"/>
      <c r="X26" s="113"/>
      <c r="Y26" s="113"/>
      <c r="Z26" s="113"/>
    </row>
    <row r="27" spans="1:26" x14ac:dyDescent="0.2">
      <c r="I27" s="109" t="s">
        <v>32</v>
      </c>
      <c r="J27" s="100" t="s">
        <v>33</v>
      </c>
      <c r="K27" s="100" t="s">
        <v>34</v>
      </c>
      <c r="L27" s="100" t="s">
        <v>35</v>
      </c>
      <c r="M27" s="103" t="s">
        <v>36</v>
      </c>
      <c r="N27" s="104"/>
      <c r="O27" s="104"/>
      <c r="P27" s="104"/>
      <c r="Q27" s="104"/>
      <c r="R27" s="104"/>
      <c r="S27" s="104"/>
      <c r="T27" s="104"/>
      <c r="U27" s="104"/>
      <c r="V27" s="104"/>
      <c r="W27" s="104"/>
      <c r="X27" s="105"/>
      <c r="Y27" s="100" t="s">
        <v>37</v>
      </c>
      <c r="Z27" s="100" t="s">
        <v>38</v>
      </c>
    </row>
    <row r="28" spans="1:26" x14ac:dyDescent="0.2">
      <c r="I28" s="110"/>
      <c r="J28" s="101"/>
      <c r="K28" s="101"/>
      <c r="L28" s="101"/>
      <c r="M28" s="100" t="s">
        <v>39</v>
      </c>
      <c r="N28" s="100" t="s">
        <v>40</v>
      </c>
      <c r="O28" s="103" t="s">
        <v>41</v>
      </c>
      <c r="P28" s="104"/>
      <c r="Q28" s="104"/>
      <c r="R28" s="104"/>
      <c r="S28" s="104"/>
      <c r="T28" s="104"/>
      <c r="U28" s="104"/>
      <c r="V28" s="104"/>
      <c r="W28" s="104"/>
      <c r="X28" s="105"/>
      <c r="Y28" s="101"/>
      <c r="Z28" s="101"/>
    </row>
    <row r="29" spans="1:26" ht="14.25" customHeight="1" x14ac:dyDescent="0.2">
      <c r="I29" s="110"/>
      <c r="J29" s="101"/>
      <c r="K29" s="101"/>
      <c r="L29" s="101"/>
      <c r="M29" s="101"/>
      <c r="N29" s="101"/>
      <c r="O29" s="103" t="s">
        <v>42</v>
      </c>
      <c r="P29" s="104"/>
      <c r="Q29" s="105"/>
      <c r="R29" s="106" t="s">
        <v>73</v>
      </c>
      <c r="S29" s="107"/>
      <c r="T29" s="103" t="s">
        <v>43</v>
      </c>
      <c r="U29" s="104"/>
      <c r="V29" s="104"/>
      <c r="W29" s="104"/>
      <c r="X29" s="105"/>
      <c r="Y29" s="101"/>
      <c r="Z29" s="101"/>
    </row>
    <row r="30" spans="1:26" ht="156" customHeight="1" x14ac:dyDescent="0.2">
      <c r="I30" s="111"/>
      <c r="J30" s="102"/>
      <c r="K30" s="102"/>
      <c r="L30" s="102"/>
      <c r="M30" s="102"/>
      <c r="N30" s="102"/>
      <c r="O30" s="90" t="s">
        <v>44</v>
      </c>
      <c r="P30" s="90" t="s">
        <v>45</v>
      </c>
      <c r="Q30" s="90" t="s">
        <v>46</v>
      </c>
      <c r="R30" s="90" t="s">
        <v>47</v>
      </c>
      <c r="S30" s="90" t="s">
        <v>48</v>
      </c>
      <c r="T30" s="90" t="s">
        <v>49</v>
      </c>
      <c r="U30" s="90" t="s">
        <v>50</v>
      </c>
      <c r="V30" s="90" t="s">
        <v>51</v>
      </c>
      <c r="W30" s="90" t="s">
        <v>52</v>
      </c>
      <c r="X30" s="90" t="s">
        <v>53</v>
      </c>
      <c r="Y30" s="102"/>
      <c r="Z30" s="102"/>
    </row>
    <row r="31" spans="1:26" ht="14.25" x14ac:dyDescent="0.2">
      <c r="A31" s="17" t="s">
        <v>103</v>
      </c>
      <c r="B31" s="17" t="s">
        <v>85</v>
      </c>
      <c r="C31" s="17" t="s">
        <v>83</v>
      </c>
      <c r="D31" s="17" t="s">
        <v>84</v>
      </c>
      <c r="I31" s="91" t="s">
        <v>54</v>
      </c>
      <c r="J31" s="92" t="s">
        <v>55</v>
      </c>
      <c r="K31" s="92" t="s">
        <v>56</v>
      </c>
      <c r="L31" s="92" t="s">
        <v>57</v>
      </c>
      <c r="M31" s="92" t="s">
        <v>58</v>
      </c>
      <c r="N31" s="92" t="s">
        <v>59</v>
      </c>
      <c r="O31" s="93" t="s">
        <v>60</v>
      </c>
      <c r="P31" s="93" t="s">
        <v>61</v>
      </c>
      <c r="Q31" s="93" t="s">
        <v>62</v>
      </c>
      <c r="R31" s="93" t="s">
        <v>63</v>
      </c>
      <c r="S31" s="93" t="s">
        <v>64</v>
      </c>
      <c r="T31" s="93" t="s">
        <v>65</v>
      </c>
      <c r="U31" s="93" t="s">
        <v>66</v>
      </c>
      <c r="V31" s="93" t="s">
        <v>67</v>
      </c>
      <c r="W31" s="93" t="s">
        <v>68</v>
      </c>
      <c r="X31" s="93" t="s">
        <v>69</v>
      </c>
      <c r="Y31" s="92" t="s">
        <v>70</v>
      </c>
      <c r="Z31" s="92" t="s">
        <v>71</v>
      </c>
    </row>
    <row r="32" spans="1:26" ht="15" x14ac:dyDescent="0.2">
      <c r="B32" s="42" t="str">
        <f t="shared" ref="B32" si="1">IF(LEN(H32)=0,IF(LEN(H31)&gt;0,1,""))</f>
        <v/>
      </c>
      <c r="C32" s="17" t="e">
        <f>IF(LEN(L32)=0,0,J32)</f>
        <v>#VALUE!</v>
      </c>
      <c r="D32" s="17" t="e">
        <f>IF(LEN(L32)=0,0,L32)</f>
        <v>#VALUE!</v>
      </c>
      <c r="I32" s="43" t="s">
        <v>54</v>
      </c>
      <c r="J32" s="44">
        <f ca="1">TODAY()</f>
        <v>46196</v>
      </c>
      <c r="K32" s="45" t="s">
        <v>72</v>
      </c>
      <c r="L32" s="46" t="e">
        <f>SUM(O32:X32)+M32</f>
        <v>#VALUE!</v>
      </c>
      <c r="M32" s="46">
        <f>D6*-1</f>
        <v>0</v>
      </c>
      <c r="N32" s="47" t="s">
        <v>72</v>
      </c>
      <c r="O32" s="48" t="s">
        <v>72</v>
      </c>
      <c r="P32" s="46" t="e">
        <f>L6*L9</f>
        <v>#VALUE!</v>
      </c>
      <c r="Q32" s="48" t="s">
        <v>72</v>
      </c>
      <c r="R32" s="48" t="s">
        <v>72</v>
      </c>
      <c r="S32" s="48" t="s">
        <v>72</v>
      </c>
      <c r="T32" s="48" t="s">
        <v>72</v>
      </c>
      <c r="U32" s="46">
        <f>SYS!AS53</f>
        <v>0</v>
      </c>
      <c r="V32" s="46">
        <v>0</v>
      </c>
      <c r="W32" s="46">
        <f>КАЛЬКУЛЯТОР!M32*-1*SYS!AR53</f>
        <v>0</v>
      </c>
      <c r="X32" s="46">
        <v>0</v>
      </c>
      <c r="Y32" s="47" t="s">
        <v>72</v>
      </c>
      <c r="Z32" s="47" t="s">
        <v>72</v>
      </c>
    </row>
    <row r="33" spans="1:26" x14ac:dyDescent="0.2">
      <c r="A33" s="17" t="str">
        <f t="shared" ref="A33:A96" si="2">IF(B33=1,0,L33)</f>
        <v/>
      </c>
      <c r="B33" s="42" t="str">
        <f t="shared" ref="B33:B44" si="3">IF(LEN(H33)=0,IF(LEN(H32)&gt;0,1,""),"")</f>
        <v/>
      </c>
      <c r="C33" s="17">
        <f>IF(LEN(H33)=0,0,J33)</f>
        <v>0</v>
      </c>
      <c r="D33" s="17">
        <f>IF(LEN(H33)=0,0,L33)</f>
        <v>0</v>
      </c>
      <c r="E33" s="17">
        <f ca="1">WEEKDAY(F33,2)</f>
        <v>4</v>
      </c>
      <c r="F33" s="49">
        <f ca="1">DATE(YEAR(J32),MONTH(J32)+1,DAY(J32))</f>
        <v>46226</v>
      </c>
      <c r="G33" s="17">
        <v>1</v>
      </c>
      <c r="H33" s="17" t="str">
        <f>IF($L$8&gt;=G33,G33,"")</f>
        <v/>
      </c>
      <c r="I33" s="50" t="str">
        <f>IF(LEN(H33)=0,"",I32+1)</f>
        <v/>
      </c>
      <c r="J33" s="51" t="str">
        <f>IF(LEN(H33)=0,IF(LEN(H32)&gt;0,"РАЗОМ:",""),IF(E33=6,F33+2,IF(E33=7,F33+1,F33)))</f>
        <v/>
      </c>
      <c r="K33" s="50" t="str">
        <f>IF(LEN(H33)=0,"",J33-J32)</f>
        <v/>
      </c>
      <c r="L33" s="52" t="str">
        <f>IF(LEN(H33)=0,IF(LEN(H32)&gt;0,SUM(L$32:L32)-L$32,""),IF(SYS!$AU$51="ануітет",IF(LEN(H34)=0,N33+M33,ROUND(PMT(SYS!$AG$52/12,D$8,$M$32),2))+P33,
IF(SYS!$AU$51="6 міс.% далі ануітет",IF(H33&lt;=6,N33,IF(LEN(H34)=0,N33+M33,ROUND(PMT(SYS!$AG$52/12,D$8-6,$M$32),2))+P33),
IF(SYS!$AU$51="3 міс.% далі ануітет",IF(H33&lt;=3,N33,IF(LEN(H34)=0,N33+M33,ROUND(PMT(SYS!$AG$52/12,D$8-3,$M$32),2))+P33),
IF(SYS!$AU$51="4 міс.% далі ануітет",IF(H33&lt;=4,N33,IF(LEN(H34)=0,N33+M33,ROUND(PMT(SYS!$AG$52/12,D$8-4,$M$32),2))+P33))))))</f>
        <v/>
      </c>
      <c r="M33" s="52" t="str">
        <f>IF(LEN(H33)=0,IF(LEN(H32)&gt;0,SUM(M$32:M32)-M$32,""),IF(LEN(H34)=0,SUM(M$32:M32)*-1,L33-N33-P33))</f>
        <v/>
      </c>
      <c r="N33" s="52" t="str">
        <f>IF(LEN(H33)=0,IF(LEN(H32)&gt;0,SUM(N$32:N32),""),ROUND((SUM(M$32:M32)*-1)*SYS!$AG$52/365*КАЛЬКУЛЯТОР!K33,2))</f>
        <v/>
      </c>
      <c r="O33" s="50" t="str">
        <f>IF(LEN(H33)=0,"","Х")</f>
        <v/>
      </c>
      <c r="P33" s="52" t="str">
        <f>IF(LEN(H33)=0,IF(LEN(H32)&gt;0,SUM(P$32:P32),""),IF(SYS!$AV$51=SYS!$A$2,SUM(КАЛЬКУЛЯТОР!M$32:M32)*-1*$L$10,M$32*-1*L$10))</f>
        <v/>
      </c>
      <c r="Q33" s="53" t="str">
        <f>IF(LEN(H33)=0,"","Х")</f>
        <v/>
      </c>
      <c r="R33" s="50" t="str">
        <f>IF(LEN(H33)=0,"","Х")</f>
        <v/>
      </c>
      <c r="S33" s="50" t="str">
        <f>IF(LEN(H33)=0,"","Х")</f>
        <v/>
      </c>
      <c r="T33" s="50" t="str">
        <f>IF(LEN(H33)=0,"","Х")</f>
        <v/>
      </c>
      <c r="Y33" s="54" t="str">
        <f>IF(LEN(H33)=0,IF(LEN(H32)&gt;0,$L$21,""),"Х")</f>
        <v/>
      </c>
      <c r="Z33" s="50" t="str">
        <f t="shared" ref="Z33:Z64" si="4">IF(LEN(H33)=0,IF(LEN(H32)&gt;0,$L$23,""),"Х")</f>
        <v/>
      </c>
    </row>
    <row r="34" spans="1:26" x14ac:dyDescent="0.2">
      <c r="A34" s="17" t="str">
        <f t="shared" si="2"/>
        <v/>
      </c>
      <c r="B34" s="42" t="str">
        <f t="shared" si="3"/>
        <v/>
      </c>
      <c r="C34" s="17">
        <f t="shared" ref="C34:C97" si="5">IF(LEN(H34)=0,0,J34)</f>
        <v>0</v>
      </c>
      <c r="D34" s="17">
        <f t="shared" ref="D34:D97" si="6">IF(LEN(H34)=0,0,L34)</f>
        <v>0</v>
      </c>
      <c r="E34" s="17">
        <f t="shared" ref="E34:E97" ca="1" si="7">WEEKDAY(F34,2)</f>
        <v>7</v>
      </c>
      <c r="F34" s="49">
        <f ca="1">DATE(YEAR(F33),MONTH(F33)+1,DAY(F33))</f>
        <v>46257</v>
      </c>
      <c r="G34" s="17">
        <v>2</v>
      </c>
      <c r="H34" s="17" t="str">
        <f t="shared" ref="H34:H97" si="8">IF($L$8&gt;=G34,G34,"")</f>
        <v/>
      </c>
      <c r="I34" s="50" t="str">
        <f t="shared" ref="I34:I97" si="9">IF(LEN(H34)=0,"",I33+1)</f>
        <v/>
      </c>
      <c r="J34" s="51" t="str">
        <f t="shared" ref="J34:J97" si="10">IF(LEN(H34)=0,IF(LEN(H33)&gt;0,"РАЗОМ:",""),IF(E34=6,F34+2,IF(E34=7,F34+1,F34)))</f>
        <v/>
      </c>
      <c r="K34" s="50" t="str">
        <f t="shared" ref="K34:K97" si="11">IF(LEN(H34)=0,"",J34-J33)</f>
        <v/>
      </c>
      <c r="L34" s="52" t="str">
        <f>IF(LEN(H34)=0,IF(LEN(H33)&gt;0,SUM(L$32:L33)-L$32,""),IF(SYS!$AU$51="ануітет",IF(LEN(H35)=0,N34+M34,ROUND(PMT(SYS!$AG$52/12,D$8,$M$32),2))+P34,
IF(SYS!$AU$51="6 міс.% далі ануітет",IF(H34&lt;=6,N34,IF(LEN(H35)=0,N34+M34,ROUND(PMT(SYS!$AG$52/12,D$8-6,$M$32),2))+P34),
IF(SYS!$AU$51="3 міс.% далі ануітет",IF(H34&lt;=3,N34,IF(LEN(H35)=0,N34+M34,ROUND(PMT(SYS!$AG$52/12,D$8-3,$M$32),2))+P34),
IF(SYS!$AU$51="4 міс.% далі ануітет",IF(H34&lt;=4,N34,IF(LEN(H35)=0,N34+M34,ROUND(PMT(SYS!$AG$52/12,D$8-4,$M$32),2))+P34))))))</f>
        <v/>
      </c>
      <c r="M34" s="52" t="str">
        <f>IF(LEN(H34)=0,IF(LEN(H33)&gt;0,SUM(M$32:M33)-M$32,""),IF(LEN(H35)=0,SUM(M$32:M33)*-1,L34-N34-P34))</f>
        <v/>
      </c>
      <c r="N34" s="52" t="str">
        <f>IF(LEN(H34)=0,IF(LEN(H33)&gt;0,SUM(N$32:N33),""),ROUND((SUM(M$32:M33)*-1)*SYS!$AG$52/365*КАЛЬКУЛЯТОР!K34,2))</f>
        <v/>
      </c>
      <c r="O34" s="50" t="str">
        <f t="shared" ref="O34:O97" si="12">IF(LEN(H34)=0,"","Х")</f>
        <v/>
      </c>
      <c r="P34" s="52" t="str">
        <f>IF(LEN(H34)=0,IF(LEN(H33)&gt;0,SUM(P$32:P33),""),IF(SYS!$AV$51=SYS!$A$2,SUM(КАЛЬКУЛЯТОР!M$32:M33)*-1*$L$10,M$32*-1*L$10))</f>
        <v/>
      </c>
      <c r="Q34" s="53" t="str">
        <f t="shared" ref="Q34:Q97" si="13">IF(LEN(H34)=0,"","Х")</f>
        <v/>
      </c>
      <c r="R34" s="50" t="str">
        <f t="shared" ref="R34:R97" si="14">IF(LEN(H34)=0,"","Х")</f>
        <v/>
      </c>
      <c r="S34" s="50" t="str">
        <f t="shared" ref="S34:S97" si="15">IF(LEN(H34)=0,"","Х")</f>
        <v/>
      </c>
      <c r="T34" s="50" t="str">
        <f t="shared" ref="T34:T97" si="16">IF(LEN(H34)=0,"","Х")</f>
        <v/>
      </c>
      <c r="Y34" s="54" t="str">
        <f t="shared" ref="Y34:Y50" si="17">IF(LEN(H34)=0,IF(LEN(H33)&gt;0,$L$21,""),"Х")</f>
        <v/>
      </c>
      <c r="Z34" s="50" t="str">
        <f t="shared" si="4"/>
        <v/>
      </c>
    </row>
    <row r="35" spans="1:26" x14ac:dyDescent="0.2">
      <c r="A35" s="17" t="str">
        <f t="shared" si="2"/>
        <v/>
      </c>
      <c r="B35" s="42" t="str">
        <f t="shared" si="3"/>
        <v/>
      </c>
      <c r="C35" s="17">
        <f t="shared" si="5"/>
        <v>0</v>
      </c>
      <c r="D35" s="17">
        <f t="shared" si="6"/>
        <v>0</v>
      </c>
      <c r="E35" s="17">
        <f t="shared" ca="1" si="7"/>
        <v>3</v>
      </c>
      <c r="F35" s="49">
        <f t="shared" ref="F35:F98" ca="1" si="18">DATE(YEAR(F34),MONTH(F34)+1,DAY(F34))</f>
        <v>46288</v>
      </c>
      <c r="G35" s="17">
        <v>3</v>
      </c>
      <c r="H35" s="17" t="str">
        <f t="shared" si="8"/>
        <v/>
      </c>
      <c r="I35" s="50" t="str">
        <f t="shared" si="9"/>
        <v/>
      </c>
      <c r="J35" s="51" t="str">
        <f t="shared" si="10"/>
        <v/>
      </c>
      <c r="K35" s="50" t="str">
        <f t="shared" si="11"/>
        <v/>
      </c>
      <c r="L35" s="52" t="str">
        <f>IF(LEN(H35)=0,IF(LEN(H34)&gt;0,SUM(L$32:L34)-L$32,""),IF(SYS!$AU$51="ануітет",IF(LEN(H36)=0,N35+M35,ROUND(PMT(SYS!$AG$52/12,D$8,$M$32),2))+P35,
IF(SYS!$AU$51="6 міс.% далі ануітет",IF(H35&lt;=6,N35,IF(LEN(H36)=0,N35+M35,ROUND(PMT(SYS!$AG$52/12,D$8-6,$M$32),2))+P35),
IF(SYS!$AU$51="3 міс.% далі ануітет",IF(H35&lt;=3,N35,IF(LEN(H36)=0,N35+M35,ROUND(PMT(SYS!$AG$52/12,D$8-3,$M$32),2))+P35),
IF(SYS!$AU$51="4 міс.% далі ануітет",IF(H35&lt;=4,N35,IF(LEN(H36)=0,N35+M35,ROUND(PMT(SYS!$AG$52/12,D$8-4,$M$32),2))+P35))))))</f>
        <v/>
      </c>
      <c r="M35" s="52" t="str">
        <f>IF(LEN(H35)=0,IF(LEN(H34)&gt;0,SUM(M$32:M34)-M$32,""),IF(LEN(H36)=0,SUM(M$32:M34)*-1,L35-N35-P35))</f>
        <v/>
      </c>
      <c r="N35" s="52" t="str">
        <f>IF(LEN(H35)=0,IF(LEN(H34)&gt;0,SUM(N$32:N34),""),ROUND((SUM(M$32:M34)*-1)*SYS!$AG$52/365*КАЛЬКУЛЯТОР!K35,2))</f>
        <v/>
      </c>
      <c r="O35" s="50" t="str">
        <f t="shared" si="12"/>
        <v/>
      </c>
      <c r="P35" s="52" t="str">
        <f>IF(LEN(H35)=0,IF(LEN(H34)&gt;0,SUM(P$32:P34),""),IF(SYS!$AV$51=SYS!$A$2,SUM(КАЛЬКУЛЯТОР!M$32:M34)*-1*$L$10,M$32*-1*L$10))</f>
        <v/>
      </c>
      <c r="Q35" s="53" t="str">
        <f t="shared" si="13"/>
        <v/>
      </c>
      <c r="R35" s="50" t="str">
        <f t="shared" si="14"/>
        <v/>
      </c>
      <c r="S35" s="50" t="str">
        <f t="shared" si="15"/>
        <v/>
      </c>
      <c r="T35" s="50" t="str">
        <f t="shared" si="16"/>
        <v/>
      </c>
      <c r="Y35" s="54" t="str">
        <f t="shared" si="17"/>
        <v/>
      </c>
      <c r="Z35" s="50" t="str">
        <f t="shared" si="4"/>
        <v/>
      </c>
    </row>
    <row r="36" spans="1:26" x14ac:dyDescent="0.2">
      <c r="A36" s="17" t="str">
        <f t="shared" si="2"/>
        <v/>
      </c>
      <c r="B36" s="42" t="str">
        <f t="shared" si="3"/>
        <v/>
      </c>
      <c r="C36" s="17">
        <f t="shared" si="5"/>
        <v>0</v>
      </c>
      <c r="D36" s="17">
        <f t="shared" si="6"/>
        <v>0</v>
      </c>
      <c r="E36" s="17">
        <f t="shared" ca="1" si="7"/>
        <v>5</v>
      </c>
      <c r="F36" s="49">
        <f t="shared" ca="1" si="18"/>
        <v>46318</v>
      </c>
      <c r="G36" s="17">
        <v>4</v>
      </c>
      <c r="H36" s="17" t="str">
        <f t="shared" si="8"/>
        <v/>
      </c>
      <c r="I36" s="50" t="str">
        <f t="shared" si="9"/>
        <v/>
      </c>
      <c r="J36" s="51" t="str">
        <f t="shared" si="10"/>
        <v/>
      </c>
      <c r="K36" s="50" t="str">
        <f t="shared" si="11"/>
        <v/>
      </c>
      <c r="L36" s="52" t="str">
        <f>IF(LEN(H36)=0,IF(LEN(H35)&gt;0,SUM(L$32:L35)-L$32,""),IF(SYS!$AU$51="ануітет",IF(LEN(H37)=0,N36+M36,ROUND(PMT(SYS!$AG$52/12,D$8,$M$32),2))+P36,
IF(SYS!$AU$51="6 міс.% далі ануітет",IF(H36&lt;=6,N36,IF(LEN(H37)=0,N36+M36,ROUND(PMT(SYS!$AG$52/12,D$8-6,$M$32),2))+P36),
IF(SYS!$AU$51="3 міс.% далі ануітет",IF(H36&lt;=3,N36,IF(LEN(H37)=0,N36+M36,ROUND(PMT(SYS!$AG$52/12,D$8-3,$M$32),2))+P36),
IF(SYS!$AU$51="4 міс.% далі ануітет",IF(H36&lt;=4,N36,IF(LEN(H37)=0,N36+M36,ROUND(PMT(SYS!$AG$52/12,D$8-4,$M$32),2))+P36))))))</f>
        <v/>
      </c>
      <c r="M36" s="52" t="str">
        <f>IF(LEN(H36)=0,IF(LEN(H35)&gt;0,SUM(M$32:M35)-M$32,""),IF(LEN(H37)=0,SUM(M$32:M35)*-1,L36-N36-P36))</f>
        <v/>
      </c>
      <c r="N36" s="52" t="str">
        <f>IF(LEN(H36)=0,IF(LEN(H35)&gt;0,SUM(N$32:N35),""),ROUND((SUM(M$32:M35)*-1)*SYS!$AG$52/365*КАЛЬКУЛЯТОР!K36,2))</f>
        <v/>
      </c>
      <c r="O36" s="50" t="str">
        <f t="shared" si="12"/>
        <v/>
      </c>
      <c r="P36" s="52" t="str">
        <f>IF(LEN(H36)=0,IF(LEN(H35)&gt;0,SUM(P$32:P35),""),IF(SYS!$AV$51=SYS!$A$2,SUM(КАЛЬКУЛЯТОР!M$32:M35)*-1*$L$10,M$32*-1*L$10))</f>
        <v/>
      </c>
      <c r="Q36" s="53" t="str">
        <f t="shared" si="13"/>
        <v/>
      </c>
      <c r="R36" s="50" t="str">
        <f t="shared" si="14"/>
        <v/>
      </c>
      <c r="S36" s="50" t="str">
        <f t="shared" si="15"/>
        <v/>
      </c>
      <c r="T36" s="50" t="str">
        <f t="shared" si="16"/>
        <v/>
      </c>
      <c r="Y36" s="54" t="str">
        <f t="shared" si="17"/>
        <v/>
      </c>
      <c r="Z36" s="50" t="str">
        <f t="shared" si="4"/>
        <v/>
      </c>
    </row>
    <row r="37" spans="1:26" x14ac:dyDescent="0.2">
      <c r="A37" s="17" t="str">
        <f t="shared" si="2"/>
        <v/>
      </c>
      <c r="B37" s="42" t="str">
        <f t="shared" si="3"/>
        <v/>
      </c>
      <c r="C37" s="17">
        <f t="shared" si="5"/>
        <v>0</v>
      </c>
      <c r="D37" s="17">
        <f t="shared" si="6"/>
        <v>0</v>
      </c>
      <c r="E37" s="17">
        <f t="shared" ca="1" si="7"/>
        <v>1</v>
      </c>
      <c r="F37" s="49">
        <f t="shared" ca="1" si="18"/>
        <v>46349</v>
      </c>
      <c r="G37" s="17">
        <v>5</v>
      </c>
      <c r="H37" s="17" t="str">
        <f t="shared" si="8"/>
        <v/>
      </c>
      <c r="I37" s="50" t="str">
        <f t="shared" si="9"/>
        <v/>
      </c>
      <c r="J37" s="51" t="str">
        <f t="shared" si="10"/>
        <v/>
      </c>
      <c r="K37" s="50" t="str">
        <f t="shared" si="11"/>
        <v/>
      </c>
      <c r="L37" s="52" t="str">
        <f>IF(LEN(H37)=0,IF(LEN(H36)&gt;0,SUM(L$32:L36)-L$32,""),IF(SYS!$AU$51="ануітет",IF(LEN(H38)=0,N37+M37,ROUND(PMT(SYS!$AG$52/12,D$8,$M$32),2))+P37,
IF(SYS!$AU$51="6 міс.% далі ануітет",IF(H37&lt;=6,N37,IF(LEN(H38)=0,N37+M37,ROUND(PMT(SYS!$AG$52/12,D$8-6,$M$32),2))+P37),
IF(SYS!$AU$51="3 міс.% далі ануітет",IF(H37&lt;=3,N37,IF(LEN(H38)=0,N37+M37,ROUND(PMT(SYS!$AG$52/12,D$8-3,$M$32),2))+P37),
IF(SYS!$AU$51="4 міс.% далі ануітет",IF(H37&lt;=4,N37,IF(LEN(H38)=0,N37+M37,ROUND(PMT(SYS!$AG$52/12,D$8-4,$M$32),2))+P37))))))</f>
        <v/>
      </c>
      <c r="M37" s="52" t="str">
        <f>IF(LEN(H37)=0,IF(LEN(H36)&gt;0,SUM(M$32:M36)-M$32,""),IF(LEN(H38)=0,SUM(M$32:M36)*-1,L37-N37-P37))</f>
        <v/>
      </c>
      <c r="N37" s="52" t="str">
        <f>IF(LEN(H37)=0,IF(LEN(H36)&gt;0,SUM(N$32:N36),""),ROUND((SUM(M$32:M36)*-1)*SYS!$AG$52/365*КАЛЬКУЛЯТОР!K37,2))</f>
        <v/>
      </c>
      <c r="O37" s="50" t="str">
        <f t="shared" si="12"/>
        <v/>
      </c>
      <c r="P37" s="52" t="str">
        <f>IF(LEN(H37)=0,IF(LEN(H36)&gt;0,SUM(P$32:P36),""),IF(SYS!$AV$51=SYS!$A$2,SUM(КАЛЬКУЛЯТОР!M$32:M36)*-1*$L$10,M$32*-1*L$10))</f>
        <v/>
      </c>
      <c r="Q37" s="53" t="str">
        <f t="shared" si="13"/>
        <v/>
      </c>
      <c r="R37" s="50" t="str">
        <f t="shared" si="14"/>
        <v/>
      </c>
      <c r="S37" s="50" t="str">
        <f t="shared" si="15"/>
        <v/>
      </c>
      <c r="T37" s="50" t="str">
        <f t="shared" si="16"/>
        <v/>
      </c>
      <c r="Y37" s="54" t="str">
        <f t="shared" si="17"/>
        <v/>
      </c>
      <c r="Z37" s="50" t="str">
        <f t="shared" si="4"/>
        <v/>
      </c>
    </row>
    <row r="38" spans="1:26" x14ac:dyDescent="0.2">
      <c r="A38" s="17" t="str">
        <f t="shared" si="2"/>
        <v/>
      </c>
      <c r="B38" s="42" t="str">
        <f t="shared" si="3"/>
        <v/>
      </c>
      <c r="C38" s="17">
        <f t="shared" si="5"/>
        <v>0</v>
      </c>
      <c r="D38" s="17">
        <f t="shared" si="6"/>
        <v>0</v>
      </c>
      <c r="E38" s="17">
        <f t="shared" ca="1" si="7"/>
        <v>3</v>
      </c>
      <c r="F38" s="49">
        <f t="shared" ca="1" si="18"/>
        <v>46379</v>
      </c>
      <c r="G38" s="17">
        <v>6</v>
      </c>
      <c r="H38" s="17" t="str">
        <f t="shared" si="8"/>
        <v/>
      </c>
      <c r="I38" s="50" t="str">
        <f t="shared" si="9"/>
        <v/>
      </c>
      <c r="J38" s="51" t="str">
        <f t="shared" si="10"/>
        <v/>
      </c>
      <c r="K38" s="50" t="str">
        <f t="shared" si="11"/>
        <v/>
      </c>
      <c r="L38" s="52" t="str">
        <f>IF(LEN(H38)=0,IF(LEN(H37)&gt;0,SUM(L$32:L37)-L$32,""),IF(SYS!$AU$51="ануітет",IF(LEN(H39)=0,N38+M38,ROUND(PMT(SYS!$AG$52/12,D$8,$M$32),2))+P38,
IF(SYS!$AU$51="6 міс.% далі ануітет",IF(H38&lt;=6,N38,IF(LEN(H39)=0,N38+M38,ROUND(PMT(SYS!$AG$52/12,D$8-6,$M$32),2))+P38),
IF(SYS!$AU$51="3 міс.% далі ануітет",IF(H38&lt;=3,N38,IF(LEN(H39)=0,N38+M38,ROUND(PMT(SYS!$AG$52/12,D$8-3,$M$32),2))+P38),
IF(SYS!$AU$51="4 міс.% далі ануітет",IF(H38&lt;=4,N38,IF(LEN(H39)=0,N38+M38,ROUND(PMT(SYS!$AG$52/12,D$8-4,$M$32),2))+P38))))))</f>
        <v/>
      </c>
      <c r="M38" s="52" t="str">
        <f>IF(LEN(H38)=0,IF(LEN(H37)&gt;0,SUM(M$32:M37)-M$32,""),IF(LEN(H39)=0,SUM(M$32:M37)*-1,L38-N38-P38))</f>
        <v/>
      </c>
      <c r="N38" s="52" t="str">
        <f>IF(LEN(H38)=0,IF(LEN(H37)&gt;0,SUM(N$32:N37),""),ROUND((SUM(M$32:M37)*-1)*SYS!$AG$52/365*КАЛЬКУЛЯТОР!K38,2))</f>
        <v/>
      </c>
      <c r="O38" s="50" t="str">
        <f t="shared" si="12"/>
        <v/>
      </c>
      <c r="P38" s="52" t="str">
        <f>IF(LEN(H38)=0,IF(LEN(H37)&gt;0,SUM(P$32:P37),""),IF(SYS!$AV$51=SYS!$A$2,SUM(КАЛЬКУЛЯТОР!M$32:M37)*-1*$L$10,M$32*-1*L$10))</f>
        <v/>
      </c>
      <c r="Q38" s="53" t="str">
        <f t="shared" si="13"/>
        <v/>
      </c>
      <c r="R38" s="50" t="str">
        <f t="shared" si="14"/>
        <v/>
      </c>
      <c r="S38" s="50" t="str">
        <f t="shared" si="15"/>
        <v/>
      </c>
      <c r="T38" s="50" t="str">
        <f t="shared" si="16"/>
        <v/>
      </c>
      <c r="Y38" s="54" t="str">
        <f t="shared" si="17"/>
        <v/>
      </c>
      <c r="Z38" s="50" t="str">
        <f t="shared" si="4"/>
        <v/>
      </c>
    </row>
    <row r="39" spans="1:26" x14ac:dyDescent="0.2">
      <c r="A39" s="17" t="str">
        <f t="shared" si="2"/>
        <v/>
      </c>
      <c r="B39" s="42" t="str">
        <f t="shared" si="3"/>
        <v/>
      </c>
      <c r="C39" s="17">
        <f t="shared" si="5"/>
        <v>0</v>
      </c>
      <c r="D39" s="17">
        <f t="shared" si="6"/>
        <v>0</v>
      </c>
      <c r="E39" s="17">
        <f t="shared" ca="1" si="7"/>
        <v>6</v>
      </c>
      <c r="F39" s="49">
        <f t="shared" ca="1" si="18"/>
        <v>46410</v>
      </c>
      <c r="G39" s="17">
        <v>7</v>
      </c>
      <c r="H39" s="17" t="str">
        <f t="shared" si="8"/>
        <v/>
      </c>
      <c r="I39" s="50" t="str">
        <f t="shared" si="9"/>
        <v/>
      </c>
      <c r="J39" s="51" t="str">
        <f t="shared" si="10"/>
        <v/>
      </c>
      <c r="K39" s="50" t="str">
        <f t="shared" si="11"/>
        <v/>
      </c>
      <c r="L39" s="52" t="str">
        <f>IF(LEN(H39)=0,IF(LEN(H38)&gt;0,SUM(L$32:L38)-L$32,""),IF(SYS!$AU$51="ануітет",IF(LEN(H40)=0,N39+M39,ROUND(PMT(SYS!$AG$52/12,D$8,$M$32),2))+P39,
IF(SYS!$AU$51="6 міс.% далі ануітет",IF(H39&lt;=6,N39,IF(LEN(H40)=0,N39+M39,ROUND(PMT(SYS!$AG$52/12,D$8-6,$M$32),2))+P39),
IF(SYS!$AU$51="3 міс.% далі ануітет",IF(H39&lt;=3,N39,IF(LEN(H40)=0,N39+M39,ROUND(PMT(SYS!$AG$52/12,D$8-3,$M$32),2))+P39),
IF(SYS!$AU$51="4 міс.% далі ануітет",IF(H39&lt;=4,N39,IF(LEN(H40)=0,N39+M39,ROUND(PMT(SYS!$AG$52/12,D$8-4,$M$32),2))+P39))))))</f>
        <v/>
      </c>
      <c r="M39" s="52" t="str">
        <f>IF(LEN(H39)=0,IF(LEN(H38)&gt;0,SUM(M$32:M38)-M$32,""),IF(LEN(H40)=0,SUM(M$32:M38)*-1,L39-N39-P39))</f>
        <v/>
      </c>
      <c r="N39" s="52" t="str">
        <f>IF(LEN(H39)=0,IF(LEN(H38)&gt;0,SUM(N$32:N38),""),ROUND((SUM(M$32:M38)*-1)*SYS!$AG$52/365*КАЛЬКУЛЯТОР!K39,2))</f>
        <v/>
      </c>
      <c r="O39" s="50" t="str">
        <f t="shared" si="12"/>
        <v/>
      </c>
      <c r="P39" s="52" t="str">
        <f>IF(LEN(H39)=0,IF(LEN(H38)&gt;0,SUM(P$32:P38),""),IF(SYS!$AV$51=SYS!$A$2,SUM(КАЛЬКУЛЯТОР!M$32:M38)*-1*$L$10,M$32*-1*L$10))</f>
        <v/>
      </c>
      <c r="Q39" s="53" t="str">
        <f t="shared" si="13"/>
        <v/>
      </c>
      <c r="R39" s="50" t="str">
        <f t="shared" si="14"/>
        <v/>
      </c>
      <c r="S39" s="50" t="str">
        <f t="shared" si="15"/>
        <v/>
      </c>
      <c r="T39" s="50" t="str">
        <f t="shared" si="16"/>
        <v/>
      </c>
      <c r="Y39" s="54" t="str">
        <f t="shared" si="17"/>
        <v/>
      </c>
      <c r="Z39" s="50" t="str">
        <f t="shared" si="4"/>
        <v/>
      </c>
    </row>
    <row r="40" spans="1:26" x14ac:dyDescent="0.2">
      <c r="A40" s="17" t="str">
        <f t="shared" si="2"/>
        <v/>
      </c>
      <c r="B40" s="42" t="str">
        <f t="shared" si="3"/>
        <v/>
      </c>
      <c r="C40" s="17">
        <f t="shared" si="5"/>
        <v>0</v>
      </c>
      <c r="D40" s="17">
        <f t="shared" si="6"/>
        <v>0</v>
      </c>
      <c r="E40" s="17">
        <f t="shared" ca="1" si="7"/>
        <v>2</v>
      </c>
      <c r="F40" s="49">
        <f t="shared" ca="1" si="18"/>
        <v>46441</v>
      </c>
      <c r="G40" s="17">
        <v>8</v>
      </c>
      <c r="H40" s="17" t="str">
        <f t="shared" si="8"/>
        <v/>
      </c>
      <c r="I40" s="50" t="str">
        <f t="shared" si="9"/>
        <v/>
      </c>
      <c r="J40" s="51" t="str">
        <f t="shared" si="10"/>
        <v/>
      </c>
      <c r="K40" s="50" t="str">
        <f t="shared" si="11"/>
        <v/>
      </c>
      <c r="L40" s="52" t="str">
        <f>IF(LEN(H40)=0,IF(LEN(H39)&gt;0,SUM(L$32:L39)-L$32,""),IF(SYS!$AU$51="ануітет",IF(LEN(H41)=0,N40+M40,ROUND(PMT(SYS!$AG$52/12,D$8,$M$32),2))+P40,
IF(SYS!$AU$51="6 міс.% далі ануітет",IF(H40&lt;=6,N40,IF(LEN(H41)=0,N40+M40,ROUND(PMT(SYS!$AG$52/12,D$8-6,$M$32),2))+P40),
IF(SYS!$AU$51="3 міс.% далі ануітет",IF(H40&lt;=3,N40,IF(LEN(H41)=0,N40+M40,ROUND(PMT(SYS!$AG$52/12,D$8-3,$M$32),2))+P40),
IF(SYS!$AU$51="4 міс.% далі ануітет",IF(H40&lt;=4,N40,IF(LEN(H41)=0,N40+M40,ROUND(PMT(SYS!$AG$52/12,D$8-4,$M$32),2))+P40))))))</f>
        <v/>
      </c>
      <c r="M40" s="52" t="str">
        <f>IF(LEN(H40)=0,IF(LEN(H39)&gt;0,SUM(M$32:M39)-M$32,""),IF(LEN(H41)=0,SUM(M$32:M39)*-1,L40-N40-P40))</f>
        <v/>
      </c>
      <c r="N40" s="52" t="str">
        <f>IF(LEN(H40)=0,IF(LEN(H39)&gt;0,SUM(N$32:N39),""),ROUND((SUM(M$32:M39)*-1)*SYS!$AG$52/365*КАЛЬКУЛЯТОР!K40,2))</f>
        <v/>
      </c>
      <c r="O40" s="50" t="str">
        <f t="shared" si="12"/>
        <v/>
      </c>
      <c r="P40" s="52" t="str">
        <f>IF(LEN(H40)=0,IF(LEN(H39)&gt;0,SUM(P$32:P39),""),IF(SYS!$AV$51=SYS!$A$2,SUM(КАЛЬКУЛЯТОР!M$32:M39)*-1*$L$10,M$32*-1*L$10))</f>
        <v/>
      </c>
      <c r="Q40" s="53" t="str">
        <f t="shared" si="13"/>
        <v/>
      </c>
      <c r="R40" s="50" t="str">
        <f t="shared" si="14"/>
        <v/>
      </c>
      <c r="S40" s="50" t="str">
        <f t="shared" si="15"/>
        <v/>
      </c>
      <c r="T40" s="50" t="str">
        <f t="shared" si="16"/>
        <v/>
      </c>
      <c r="Y40" s="54" t="str">
        <f t="shared" si="17"/>
        <v/>
      </c>
      <c r="Z40" s="50" t="str">
        <f t="shared" si="4"/>
        <v/>
      </c>
    </row>
    <row r="41" spans="1:26" x14ac:dyDescent="0.2">
      <c r="A41" s="17" t="str">
        <f t="shared" si="2"/>
        <v/>
      </c>
      <c r="B41" s="42" t="str">
        <f t="shared" si="3"/>
        <v/>
      </c>
      <c r="C41" s="17">
        <f t="shared" si="5"/>
        <v>0</v>
      </c>
      <c r="D41" s="17">
        <f t="shared" si="6"/>
        <v>0</v>
      </c>
      <c r="E41" s="17">
        <f t="shared" ca="1" si="7"/>
        <v>2</v>
      </c>
      <c r="F41" s="49">
        <f t="shared" ca="1" si="18"/>
        <v>46469</v>
      </c>
      <c r="G41" s="17">
        <v>9</v>
      </c>
      <c r="H41" s="17" t="str">
        <f t="shared" si="8"/>
        <v/>
      </c>
      <c r="I41" s="50" t="str">
        <f t="shared" si="9"/>
        <v/>
      </c>
      <c r="J41" s="51" t="str">
        <f t="shared" si="10"/>
        <v/>
      </c>
      <c r="K41" s="50" t="str">
        <f t="shared" si="11"/>
        <v/>
      </c>
      <c r="L41" s="52" t="str">
        <f>IF(LEN(H41)=0,IF(LEN(H40)&gt;0,SUM(L$32:L40)-L$32,""),IF(SYS!$AU$51="ануітет",IF(LEN(H42)=0,N41+M41,ROUND(PMT(SYS!$AG$52/12,D$8,$M$32),2))+P41,
IF(SYS!$AU$51="6 міс.% далі ануітет",IF(H41&lt;=6,N41,IF(LEN(H42)=0,N41+M41,ROUND(PMT(SYS!$AG$52/12,D$8-6,$M$32),2))+P41),
IF(SYS!$AU$51="3 міс.% далі ануітет",IF(H41&lt;=3,N41,IF(LEN(H42)=0,N41+M41,ROUND(PMT(SYS!$AG$52/12,D$8-3,$M$32),2))+P41),
IF(SYS!$AU$51="4 міс.% далі ануітет",IF(H41&lt;=4,N41,IF(LEN(H42)=0,N41+M41,ROUND(PMT(SYS!$AG$52/12,D$8-4,$M$32),2))+P41))))))</f>
        <v/>
      </c>
      <c r="M41" s="52" t="str">
        <f>IF(LEN(H41)=0,IF(LEN(H40)&gt;0,SUM(M$32:M40)-M$32,""),IF(LEN(H42)=0,SUM(M$32:M40)*-1,L41-N41-P41))</f>
        <v/>
      </c>
      <c r="N41" s="52" t="str">
        <f>IF(LEN(H41)=0,IF(LEN(H40)&gt;0,SUM(N$32:N40),""),ROUND((SUM(M$32:M40)*-1)*SYS!$AG$52/365*КАЛЬКУЛЯТОР!K41,2))</f>
        <v/>
      </c>
      <c r="O41" s="50" t="str">
        <f t="shared" si="12"/>
        <v/>
      </c>
      <c r="P41" s="52" t="str">
        <f>IF(LEN(H41)=0,IF(LEN(H40)&gt;0,SUM(P$32:P40),""),IF(SYS!$AV$51=SYS!$A$2,SUM(КАЛЬКУЛЯТОР!M$32:M40)*-1*$L$10,M$32*-1*L$10))</f>
        <v/>
      </c>
      <c r="Q41" s="53" t="str">
        <f t="shared" si="13"/>
        <v/>
      </c>
      <c r="R41" s="50" t="str">
        <f t="shared" si="14"/>
        <v/>
      </c>
      <c r="S41" s="50" t="str">
        <f t="shared" si="15"/>
        <v/>
      </c>
      <c r="T41" s="50" t="str">
        <f t="shared" si="16"/>
        <v/>
      </c>
      <c r="Y41" s="54" t="str">
        <f t="shared" si="17"/>
        <v/>
      </c>
      <c r="Z41" s="50" t="str">
        <f t="shared" si="4"/>
        <v/>
      </c>
    </row>
    <row r="42" spans="1:26" x14ac:dyDescent="0.2">
      <c r="A42" s="17" t="str">
        <f t="shared" si="2"/>
        <v/>
      </c>
      <c r="B42" s="42" t="str">
        <f t="shared" si="3"/>
        <v/>
      </c>
      <c r="C42" s="17">
        <f t="shared" si="5"/>
        <v>0</v>
      </c>
      <c r="D42" s="17">
        <f t="shared" si="6"/>
        <v>0</v>
      </c>
      <c r="E42" s="17">
        <f t="shared" ca="1" si="7"/>
        <v>5</v>
      </c>
      <c r="F42" s="49">
        <f t="shared" ca="1" si="18"/>
        <v>46500</v>
      </c>
      <c r="G42" s="17">
        <v>10</v>
      </c>
      <c r="H42" s="17" t="str">
        <f t="shared" si="8"/>
        <v/>
      </c>
      <c r="I42" s="50" t="str">
        <f t="shared" si="9"/>
        <v/>
      </c>
      <c r="J42" s="51" t="str">
        <f t="shared" si="10"/>
        <v/>
      </c>
      <c r="K42" s="50" t="str">
        <f t="shared" si="11"/>
        <v/>
      </c>
      <c r="L42" s="52" t="str">
        <f>IF(LEN(H42)=0,IF(LEN(H41)&gt;0,SUM(L$32:L41)-L$32,""),IF(SYS!$AU$51="ануітет",IF(LEN(H43)=0,N42+M42,ROUND(PMT(SYS!$AG$52/12,D$8,$M$32),2))+P42,
IF(SYS!$AU$51="6 міс.% далі ануітет",IF(H42&lt;=6,N42,IF(LEN(H43)=0,N42+M42,ROUND(PMT(SYS!$AG$52/12,D$8-6,$M$32),2))+P42),
IF(SYS!$AU$51="3 міс.% далі ануітет",IF(H42&lt;=3,N42,IF(LEN(H43)=0,N42+M42,ROUND(PMT(SYS!$AG$52/12,D$8-3,$M$32),2))+P42),
IF(SYS!$AU$51="4 міс.% далі ануітет",IF(H42&lt;=4,N42,IF(LEN(H43)=0,N42+M42,ROUND(PMT(SYS!$AG$52/12,D$8-4,$M$32),2))+P42))))))</f>
        <v/>
      </c>
      <c r="M42" s="52" t="str">
        <f>IF(LEN(H42)=0,IF(LEN(H41)&gt;0,SUM(M$32:M41)-M$32,""),IF(LEN(H43)=0,SUM(M$32:M41)*-1,L42-N42-P42))</f>
        <v/>
      </c>
      <c r="N42" s="52" t="str">
        <f>IF(LEN(H42)=0,IF(LEN(H41)&gt;0,SUM(N$32:N41),""),ROUND((SUM(M$32:M41)*-1)*SYS!$AG$52/365*КАЛЬКУЛЯТОР!K42,2))</f>
        <v/>
      </c>
      <c r="O42" s="50" t="str">
        <f t="shared" si="12"/>
        <v/>
      </c>
      <c r="P42" s="52" t="str">
        <f>IF(LEN(H42)=0,IF(LEN(H41)&gt;0,SUM(P$32:P41),""),IF(SYS!$AV$51=SYS!$A$2,SUM(КАЛЬКУЛЯТОР!M$32:M41)*-1*$L$10,M$32*-1*L$10))</f>
        <v/>
      </c>
      <c r="Q42" s="53" t="str">
        <f t="shared" si="13"/>
        <v/>
      </c>
      <c r="R42" s="50" t="str">
        <f t="shared" si="14"/>
        <v/>
      </c>
      <c r="S42" s="50" t="str">
        <f t="shared" si="15"/>
        <v/>
      </c>
      <c r="T42" s="50" t="str">
        <f t="shared" si="16"/>
        <v/>
      </c>
      <c r="Y42" s="54" t="str">
        <f t="shared" si="17"/>
        <v/>
      </c>
      <c r="Z42" s="50" t="str">
        <f t="shared" si="4"/>
        <v/>
      </c>
    </row>
    <row r="43" spans="1:26" x14ac:dyDescent="0.2">
      <c r="A43" s="17" t="str">
        <f t="shared" si="2"/>
        <v/>
      </c>
      <c r="B43" s="42" t="str">
        <f t="shared" si="3"/>
        <v/>
      </c>
      <c r="C43" s="17">
        <f t="shared" si="5"/>
        <v>0</v>
      </c>
      <c r="D43" s="17">
        <f t="shared" si="6"/>
        <v>0</v>
      </c>
      <c r="E43" s="17">
        <f t="shared" ca="1" si="7"/>
        <v>7</v>
      </c>
      <c r="F43" s="49">
        <f t="shared" ca="1" si="18"/>
        <v>46530</v>
      </c>
      <c r="G43" s="17">
        <v>11</v>
      </c>
      <c r="H43" s="17" t="str">
        <f t="shared" si="8"/>
        <v/>
      </c>
      <c r="I43" s="50" t="str">
        <f t="shared" si="9"/>
        <v/>
      </c>
      <c r="J43" s="51" t="str">
        <f t="shared" si="10"/>
        <v/>
      </c>
      <c r="K43" s="50" t="str">
        <f t="shared" si="11"/>
        <v/>
      </c>
      <c r="L43" s="52" t="str">
        <f>IF(LEN(H43)=0,IF(LEN(H42)&gt;0,SUM(L$32:L42)-L$32,""),IF(SYS!$AU$51="ануітет",IF(LEN(H44)=0,N43+M43,ROUND(PMT(SYS!$AG$52/12,D$8,$M$32),2))+P43,
IF(SYS!$AU$51="6 міс.% далі ануітет",IF(H43&lt;=6,N43,IF(LEN(H44)=0,N43+M43,ROUND(PMT(SYS!$AG$52/12,D$8-6,$M$32),2))+P43),
IF(SYS!$AU$51="3 міс.% далі ануітет",IF(H43&lt;=3,N43,IF(LEN(H44)=0,N43+M43,ROUND(PMT(SYS!$AG$52/12,D$8-3,$M$32),2))+P43),
IF(SYS!$AU$51="4 міс.% далі ануітет",IF(H43&lt;=4,N43,IF(LEN(H44)=0,N43+M43,ROUND(PMT(SYS!$AG$52/12,D$8-4,$M$32),2))+P43))))))</f>
        <v/>
      </c>
      <c r="M43" s="52" t="str">
        <f>IF(LEN(H43)=0,IF(LEN(H42)&gt;0,SUM(M$32:M42)-M$32,""),IF(LEN(H44)=0,SUM(M$32:M42)*-1,L43-N43-P43))</f>
        <v/>
      </c>
      <c r="N43" s="52" t="str">
        <f>IF(LEN(H43)=0,IF(LEN(H42)&gt;0,SUM(N$32:N42),""),ROUND((SUM(M$32:M42)*-1)*SYS!$AG$52/365*КАЛЬКУЛЯТОР!K43,2))</f>
        <v/>
      </c>
      <c r="O43" s="50" t="str">
        <f t="shared" si="12"/>
        <v/>
      </c>
      <c r="P43" s="52" t="str">
        <f>IF(LEN(H43)=0,IF(LEN(H42)&gt;0,SUM(P$32:P42),""),IF(SYS!$AV$51=SYS!$A$2,SUM(КАЛЬКУЛЯТОР!M$32:M42)*-1*$L$10,M$32*-1*L$10))</f>
        <v/>
      </c>
      <c r="Q43" s="53" t="str">
        <f t="shared" si="13"/>
        <v/>
      </c>
      <c r="R43" s="50" t="str">
        <f t="shared" si="14"/>
        <v/>
      </c>
      <c r="S43" s="50" t="str">
        <f t="shared" si="15"/>
        <v/>
      </c>
      <c r="T43" s="50" t="str">
        <f t="shared" si="16"/>
        <v/>
      </c>
      <c r="Y43" s="54" t="str">
        <f t="shared" si="17"/>
        <v/>
      </c>
      <c r="Z43" s="50" t="str">
        <f t="shared" si="4"/>
        <v/>
      </c>
    </row>
    <row r="44" spans="1:26" x14ac:dyDescent="0.2">
      <c r="A44" s="17" t="str">
        <f t="shared" si="2"/>
        <v/>
      </c>
      <c r="B44" s="42" t="str">
        <f t="shared" si="3"/>
        <v/>
      </c>
      <c r="C44" s="17">
        <f t="shared" si="5"/>
        <v>0</v>
      </c>
      <c r="D44" s="17">
        <f t="shared" si="6"/>
        <v>0</v>
      </c>
      <c r="E44" s="17">
        <f t="shared" ca="1" si="7"/>
        <v>3</v>
      </c>
      <c r="F44" s="49">
        <f t="shared" ca="1" si="18"/>
        <v>46561</v>
      </c>
      <c r="G44" s="17">
        <v>12</v>
      </c>
      <c r="H44" s="17" t="str">
        <f t="shared" si="8"/>
        <v/>
      </c>
      <c r="I44" s="50" t="str">
        <f t="shared" si="9"/>
        <v/>
      </c>
      <c r="J44" s="51" t="str">
        <f t="shared" si="10"/>
        <v/>
      </c>
      <c r="K44" s="50" t="str">
        <f t="shared" si="11"/>
        <v/>
      </c>
      <c r="L44" s="52" t="str">
        <f>IF(LEN(H44)=0,IF(LEN(H43)&gt;0,SUM(L$32:L43)-L$32,""),IF(SYS!$AU$51="ануітет",IF(LEN(H45)=0,N44+M44,ROUND(PMT(SYS!$AG$52/12,D$8,$M$32),2))+P44,
IF(SYS!$AU$51="6 міс.% далі ануітет",IF(H44&lt;=6,N44,IF(LEN(H45)=0,N44+M44,ROUND(PMT(SYS!$AG$52/12,D$8-6,$M$32),2))+P44),
IF(SYS!$AU$51="3 міс.% далі ануітет",IF(H44&lt;=3,N44,IF(LEN(H45)=0,N44+M44,ROUND(PMT(SYS!$AG$52/12,D$8-3,$M$32),2))+P44),
IF(SYS!$AU$51="4 міс.% далі ануітет",IF(H44&lt;=4,N44,IF(LEN(H45)=0,N44+M44,ROUND(PMT(SYS!$AG$52/12,D$8-4,$M$32),2))+P44))))))</f>
        <v/>
      </c>
      <c r="M44" s="52" t="str">
        <f>IF(LEN(H44)=0,IF(LEN(H43)&gt;0,SUM(M$32:M43)-M$32,""),IF(LEN(H45)=0,SUM(M$32:M43)*-1,L44-N44-P44))</f>
        <v/>
      </c>
      <c r="N44" s="52" t="str">
        <f>IF(LEN(H44)=0,IF(LEN(H43)&gt;0,SUM(N$32:N43),""),ROUND((SUM(M$32:M43)*-1)*SYS!$AG$52/365*КАЛЬКУЛЯТОР!K44,2))</f>
        <v/>
      </c>
      <c r="O44" s="50" t="str">
        <f t="shared" si="12"/>
        <v/>
      </c>
      <c r="P44" s="52" t="str">
        <f>IF(LEN(H44)=0,IF(LEN(H43)&gt;0,SUM(P$32:P43),""),IF(SYS!$AV$51=SYS!$A$2,SUM(КАЛЬКУЛЯТОР!M$32:M43)*-1*$L$10,M$32*-1*L$10))</f>
        <v/>
      </c>
      <c r="Q44" s="53" t="str">
        <f t="shared" si="13"/>
        <v/>
      </c>
      <c r="R44" s="50" t="str">
        <f t="shared" si="14"/>
        <v/>
      </c>
      <c r="S44" s="50" t="str">
        <f t="shared" si="15"/>
        <v/>
      </c>
      <c r="T44" s="50" t="str">
        <f t="shared" si="16"/>
        <v/>
      </c>
      <c r="Y44" s="54" t="str">
        <f t="shared" si="17"/>
        <v/>
      </c>
      <c r="Z44" s="50" t="str">
        <f t="shared" si="4"/>
        <v/>
      </c>
    </row>
    <row r="45" spans="1:26" x14ac:dyDescent="0.2">
      <c r="A45" s="17" t="str">
        <f t="shared" si="2"/>
        <v/>
      </c>
      <c r="B45" s="42" t="str">
        <f>IF(LEN(H45)=0,IF(LEN(H44)&gt;0,1,""),"")</f>
        <v/>
      </c>
      <c r="C45" s="17">
        <f t="shared" si="5"/>
        <v>0</v>
      </c>
      <c r="D45" s="17">
        <f t="shared" si="6"/>
        <v>0</v>
      </c>
      <c r="E45" s="17">
        <f t="shared" ca="1" si="7"/>
        <v>5</v>
      </c>
      <c r="F45" s="49">
        <f t="shared" ca="1" si="18"/>
        <v>46591</v>
      </c>
      <c r="G45" s="17">
        <v>13</v>
      </c>
      <c r="H45" s="17" t="str">
        <f t="shared" si="8"/>
        <v/>
      </c>
      <c r="I45" s="50" t="str">
        <f t="shared" si="9"/>
        <v/>
      </c>
      <c r="J45" s="51" t="str">
        <f t="shared" si="10"/>
        <v/>
      </c>
      <c r="K45" s="50" t="str">
        <f t="shared" si="11"/>
        <v/>
      </c>
      <c r="L45" s="52" t="str">
        <f>IF(LEN(H45)=0,IF(LEN(H44)&gt;0,SUM(L$32:L44)-L$32,""),IF(SYS!$AU$51="ануітет",IF(LEN(H46)=0,N45+M45,ROUND(PMT(SYS!$AG$52/12,D$8,$M$32),2))+P45,
IF(SYS!$AU$51="6 міс.% далі ануітет",IF(H45&lt;=6,N45,IF(LEN(H46)=0,N45+M45,ROUND(PMT(SYS!$AG$52/12,D$8-6,$M$32),2))+P45),
IF(SYS!$AU$51="3 міс.% далі ануітет",IF(H45&lt;=3,N45,IF(LEN(H46)=0,N45+M45,ROUND(PMT(SYS!$AG$52/12,D$8-3,$M$32),2))+P45),
IF(SYS!$AU$51="4 міс.% далі ануітет",IF(H45&lt;=4,N45,IF(LEN(H46)=0,N45+M45,ROUND(PMT(SYS!$AG$52/12,D$8-4,$M$32),2))+P45))))))</f>
        <v/>
      </c>
      <c r="M45" s="52" t="str">
        <f>IF(LEN(H45)=0,IF(LEN(H44)&gt;0,SUM(M$32:M44)-M$32,""),IF(LEN(H46)=0,SUM(M$32:M44)*-1,L45-N45-P45))</f>
        <v/>
      </c>
      <c r="N45" s="52" t="str">
        <f>IF(LEN(H45)=0,IF(LEN(H44)&gt;0,SUM(N$32:N44),""),ROUND((SUM(M$32:M44)*-1)*SYS!$AG$52/365*КАЛЬКУЛЯТОР!K45,2))</f>
        <v/>
      </c>
      <c r="O45" s="50" t="str">
        <f t="shared" si="12"/>
        <v/>
      </c>
      <c r="P45" s="52" t="str">
        <f>IF(LEN(H45)=0,IF(LEN(H44)&gt;0,SUM(P$32:P44),""),IF(SYS!$AV$51=SYS!$A$2,SUM(КАЛЬКУЛЯТОР!M$32:M44)*-1*$L$10,M$32*-1*L$10))</f>
        <v/>
      </c>
      <c r="Q45" s="53" t="str">
        <f t="shared" si="13"/>
        <v/>
      </c>
      <c r="R45" s="50" t="str">
        <f t="shared" si="14"/>
        <v/>
      </c>
      <c r="S45" s="50" t="str">
        <f t="shared" si="15"/>
        <v/>
      </c>
      <c r="T45" s="50" t="str">
        <f t="shared" si="16"/>
        <v/>
      </c>
      <c r="Y45" s="54" t="str">
        <f t="shared" si="17"/>
        <v/>
      </c>
      <c r="Z45" s="50" t="str">
        <f t="shared" si="4"/>
        <v/>
      </c>
    </row>
    <row r="46" spans="1:26" x14ac:dyDescent="0.2">
      <c r="A46" s="17" t="str">
        <f t="shared" si="2"/>
        <v/>
      </c>
      <c r="B46" s="42" t="str">
        <f t="shared" ref="B46:B109" si="19">IF(LEN(H46)=0,IF(LEN(H45)&gt;0,1,""),"")</f>
        <v/>
      </c>
      <c r="C46" s="17">
        <f t="shared" si="5"/>
        <v>0</v>
      </c>
      <c r="D46" s="17">
        <f t="shared" si="6"/>
        <v>0</v>
      </c>
      <c r="E46" s="17">
        <f t="shared" ca="1" si="7"/>
        <v>1</v>
      </c>
      <c r="F46" s="49">
        <f t="shared" ca="1" si="18"/>
        <v>46622</v>
      </c>
      <c r="G46" s="17">
        <v>14</v>
      </c>
      <c r="H46" s="17" t="str">
        <f t="shared" si="8"/>
        <v/>
      </c>
      <c r="I46" s="50" t="str">
        <f t="shared" si="9"/>
        <v/>
      </c>
      <c r="J46" s="51" t="str">
        <f t="shared" si="10"/>
        <v/>
      </c>
      <c r="K46" s="50" t="str">
        <f t="shared" si="11"/>
        <v/>
      </c>
      <c r="L46" s="52" t="str">
        <f>IF(LEN(H46)=0,IF(LEN(H45)&gt;0,SUM(L$32:L45)-L$32,""),IF(SYS!$AU$51="ануітет",IF(LEN(H47)=0,N46+M46,ROUND(PMT(SYS!$AG$52/12,D$8,$M$32),2))+P46,
IF(SYS!$AU$51="6 міс.% далі ануітет",IF(H46&lt;=6,N46,IF(LEN(H47)=0,N46+M46,ROUND(PMT(SYS!$AG$52/12,D$8-6,$M$32),2))+P46),
IF(SYS!$AU$51="3 міс.% далі ануітет",IF(H46&lt;=3,N46,IF(LEN(H47)=0,N46+M46,ROUND(PMT(SYS!$AG$52/12,D$8-3,$M$32),2))+P46),
IF(SYS!$AU$51="4 міс.% далі ануітет",IF(H46&lt;=4,N46,IF(LEN(H47)=0,N46+M46,ROUND(PMT(SYS!$AG$52/12,D$8-4,$M$32),2))+P46))))))</f>
        <v/>
      </c>
      <c r="M46" s="52" t="str">
        <f>IF(LEN(H46)=0,IF(LEN(H45)&gt;0,SUM(M$32:M45)-M$32,""),IF(LEN(H47)=0,SUM(M$32:M45)*-1,L46-N46-P46))</f>
        <v/>
      </c>
      <c r="N46" s="52" t="str">
        <f>IF(LEN(H46)=0,IF(LEN(H45)&gt;0,SUM(N$32:N45),""),ROUND((SUM(M$32:M45)*-1)*SYS!$AG$52/365*КАЛЬКУЛЯТОР!K46,2))</f>
        <v/>
      </c>
      <c r="O46" s="50" t="str">
        <f t="shared" si="12"/>
        <v/>
      </c>
      <c r="P46" s="52" t="str">
        <f>IF(LEN(H46)=0,IF(LEN(H45)&gt;0,SUM(P$32:P45),""),IF(SYS!$AV$51=SYS!$A$2,SUM(КАЛЬКУЛЯТОР!M$32:M45)*-1*$L$10,M$32*-1*L$10))</f>
        <v/>
      </c>
      <c r="Q46" s="53" t="str">
        <f t="shared" si="13"/>
        <v/>
      </c>
      <c r="R46" s="50" t="str">
        <f t="shared" si="14"/>
        <v/>
      </c>
      <c r="S46" s="50" t="str">
        <f t="shared" si="15"/>
        <v/>
      </c>
      <c r="T46" s="50" t="str">
        <f t="shared" si="16"/>
        <v/>
      </c>
      <c r="Y46" s="54" t="str">
        <f t="shared" si="17"/>
        <v/>
      </c>
      <c r="Z46" s="50" t="str">
        <f t="shared" si="4"/>
        <v/>
      </c>
    </row>
    <row r="47" spans="1:26" x14ac:dyDescent="0.2">
      <c r="A47" s="17" t="str">
        <f t="shared" si="2"/>
        <v/>
      </c>
      <c r="B47" s="42" t="str">
        <f t="shared" si="19"/>
        <v/>
      </c>
      <c r="C47" s="17">
        <f t="shared" si="5"/>
        <v>0</v>
      </c>
      <c r="D47" s="17">
        <f t="shared" si="6"/>
        <v>0</v>
      </c>
      <c r="E47" s="17">
        <f t="shared" ca="1" si="7"/>
        <v>4</v>
      </c>
      <c r="F47" s="49">
        <f t="shared" ca="1" si="18"/>
        <v>46653</v>
      </c>
      <c r="G47" s="17">
        <v>15</v>
      </c>
      <c r="H47" s="17" t="str">
        <f t="shared" si="8"/>
        <v/>
      </c>
      <c r="I47" s="50" t="str">
        <f t="shared" si="9"/>
        <v/>
      </c>
      <c r="J47" s="51" t="str">
        <f t="shared" si="10"/>
        <v/>
      </c>
      <c r="K47" s="50" t="str">
        <f t="shared" si="11"/>
        <v/>
      </c>
      <c r="L47" s="52" t="str">
        <f>IF(LEN(H47)=0,IF(LEN(H46)&gt;0,SUM(L$32:L46)-L$32,""),IF(SYS!$AU$51="ануітет",IF(LEN(H48)=0,N47+M47,ROUND(PMT(SYS!$AG$52/12,D$8,$M$32),2))+P47,
IF(SYS!$AU$51="6 міс.% далі ануітет",IF(H47&lt;=6,N47,IF(LEN(H48)=0,N47+M47,ROUND(PMT(SYS!$AG$52/12,D$8-6,$M$32),2))+P47),
IF(SYS!$AU$51="3 міс.% далі ануітет",IF(H47&lt;=3,N47,IF(LEN(H48)=0,N47+M47,ROUND(PMT(SYS!$AG$52/12,D$8-3,$M$32),2))+P47),
IF(SYS!$AU$51="4 міс.% далі ануітет",IF(H47&lt;=4,N47,IF(LEN(H48)=0,N47+M47,ROUND(PMT(SYS!$AG$52/12,D$8-4,$M$32),2))+P47))))))</f>
        <v/>
      </c>
      <c r="M47" s="52" t="str">
        <f>IF(LEN(H47)=0,IF(LEN(H46)&gt;0,SUM(M$32:M46)-M$32,""),IF(LEN(H48)=0,SUM(M$32:M46)*-1,L47-N47-P47))</f>
        <v/>
      </c>
      <c r="N47" s="52" t="str">
        <f>IF(LEN(H47)=0,IF(LEN(H46)&gt;0,SUM(N$32:N46),""),ROUND((SUM(M$32:M46)*-1)*SYS!$AG$52/365*КАЛЬКУЛЯТОР!K47,2))</f>
        <v/>
      </c>
      <c r="O47" s="50" t="str">
        <f t="shared" si="12"/>
        <v/>
      </c>
      <c r="P47" s="52" t="str">
        <f>IF(LEN(H47)=0,IF(LEN(H46)&gt;0,SUM(P$32:P46),""),IF(SYS!$AV$51=SYS!$A$2,SUM(КАЛЬКУЛЯТОР!M$32:M46)*-1*$L$10,M$32*-1*L$10))</f>
        <v/>
      </c>
      <c r="Q47" s="53" t="str">
        <f t="shared" si="13"/>
        <v/>
      </c>
      <c r="R47" s="50" t="str">
        <f t="shared" si="14"/>
        <v/>
      </c>
      <c r="S47" s="50" t="str">
        <f t="shared" si="15"/>
        <v/>
      </c>
      <c r="T47" s="50" t="str">
        <f t="shared" si="16"/>
        <v/>
      </c>
      <c r="Y47" s="54" t="str">
        <f t="shared" si="17"/>
        <v/>
      </c>
      <c r="Z47" s="50" t="str">
        <f t="shared" si="4"/>
        <v/>
      </c>
    </row>
    <row r="48" spans="1:26" x14ac:dyDescent="0.2">
      <c r="A48" s="17" t="str">
        <f t="shared" si="2"/>
        <v/>
      </c>
      <c r="B48" s="42" t="str">
        <f t="shared" si="19"/>
        <v/>
      </c>
      <c r="C48" s="17">
        <f t="shared" si="5"/>
        <v>0</v>
      </c>
      <c r="D48" s="17">
        <f t="shared" si="6"/>
        <v>0</v>
      </c>
      <c r="E48" s="17">
        <f t="shared" ca="1" si="7"/>
        <v>6</v>
      </c>
      <c r="F48" s="49">
        <f t="shared" ca="1" si="18"/>
        <v>46683</v>
      </c>
      <c r="G48" s="17">
        <v>16</v>
      </c>
      <c r="H48" s="17" t="str">
        <f t="shared" si="8"/>
        <v/>
      </c>
      <c r="I48" s="50" t="str">
        <f t="shared" si="9"/>
        <v/>
      </c>
      <c r="J48" s="51" t="str">
        <f t="shared" si="10"/>
        <v/>
      </c>
      <c r="K48" s="50" t="str">
        <f t="shared" si="11"/>
        <v/>
      </c>
      <c r="L48" s="52" t="str">
        <f>IF(LEN(H48)=0,IF(LEN(H47)&gt;0,SUM(L$32:L47)-L$32,""),IF(SYS!$AU$51="ануітет",IF(LEN(H49)=0,N48+M48,ROUND(PMT(SYS!$AG$52/12,D$8,$M$32),2))+P48,
IF(SYS!$AU$51="6 міс.% далі ануітет",IF(H48&lt;=6,N48,IF(LEN(H49)=0,N48+M48,ROUND(PMT(SYS!$AG$52/12,D$8-6,$M$32),2))+P48),
IF(SYS!$AU$51="3 міс.% далі ануітет",IF(H48&lt;=3,N48,IF(LEN(H49)=0,N48+M48,ROUND(PMT(SYS!$AG$52/12,D$8-3,$M$32),2))+P48),
IF(SYS!$AU$51="4 міс.% далі ануітет",IF(H48&lt;=4,N48,IF(LEN(H49)=0,N48+M48,ROUND(PMT(SYS!$AG$52/12,D$8-4,$M$32),2))+P48))))))</f>
        <v/>
      </c>
      <c r="M48" s="52" t="str">
        <f>IF(LEN(H48)=0,IF(LEN(H47)&gt;0,SUM(M$32:M47)-M$32,""),IF(LEN(H49)=0,SUM(M$32:M47)*-1,L48-N48-P48))</f>
        <v/>
      </c>
      <c r="N48" s="52" t="str">
        <f>IF(LEN(H48)=0,IF(LEN(H47)&gt;0,SUM(N$32:N47),""),ROUND((SUM(M$32:M47)*-1)*SYS!$AG$52/365*КАЛЬКУЛЯТОР!K48,2))</f>
        <v/>
      </c>
      <c r="O48" s="50" t="str">
        <f t="shared" si="12"/>
        <v/>
      </c>
      <c r="P48" s="52" t="str">
        <f>IF(LEN(H48)=0,IF(LEN(H47)&gt;0,SUM(P$32:P47),""),IF(SYS!$AV$51=SYS!$A$2,SUM(КАЛЬКУЛЯТОР!M$32:M47)*-1*$L$10,M$32*-1*L$10))</f>
        <v/>
      </c>
      <c r="Q48" s="53" t="str">
        <f t="shared" si="13"/>
        <v/>
      </c>
      <c r="R48" s="50" t="str">
        <f t="shared" si="14"/>
        <v/>
      </c>
      <c r="S48" s="50" t="str">
        <f t="shared" si="15"/>
        <v/>
      </c>
      <c r="T48" s="50" t="str">
        <f t="shared" si="16"/>
        <v/>
      </c>
      <c r="Y48" s="54" t="str">
        <f t="shared" si="17"/>
        <v/>
      </c>
      <c r="Z48" s="50" t="str">
        <f t="shared" si="4"/>
        <v/>
      </c>
    </row>
    <row r="49" spans="1:26" x14ac:dyDescent="0.2">
      <c r="A49" s="17" t="str">
        <f t="shared" si="2"/>
        <v/>
      </c>
      <c r="B49" s="42" t="str">
        <f t="shared" si="19"/>
        <v/>
      </c>
      <c r="C49" s="17">
        <f t="shared" si="5"/>
        <v>0</v>
      </c>
      <c r="D49" s="17">
        <f t="shared" si="6"/>
        <v>0</v>
      </c>
      <c r="E49" s="17">
        <f t="shared" ca="1" si="7"/>
        <v>2</v>
      </c>
      <c r="F49" s="49">
        <f t="shared" ca="1" si="18"/>
        <v>46714</v>
      </c>
      <c r="G49" s="17">
        <v>17</v>
      </c>
      <c r="H49" s="17" t="str">
        <f t="shared" si="8"/>
        <v/>
      </c>
      <c r="I49" s="50" t="str">
        <f t="shared" si="9"/>
        <v/>
      </c>
      <c r="J49" s="51" t="str">
        <f t="shared" si="10"/>
        <v/>
      </c>
      <c r="K49" s="50" t="str">
        <f t="shared" si="11"/>
        <v/>
      </c>
      <c r="L49" s="52" t="str">
        <f>IF(LEN(H49)=0,IF(LEN(H48)&gt;0,SUM(L$32:L48)-L$32,""),IF(SYS!$AU$51="ануітет",IF(LEN(H50)=0,N49+M49,ROUND(PMT(SYS!$AG$52/12,D$8,$M$32),2))+P49,
IF(SYS!$AU$51="6 міс.% далі ануітет",IF(H49&lt;=6,N49,IF(LEN(H50)=0,N49+M49,ROUND(PMT(SYS!$AG$52/12,D$8-6,$M$32),2))+P49),
IF(SYS!$AU$51="3 міс.% далі ануітет",IF(H49&lt;=3,N49,IF(LEN(H50)=0,N49+M49,ROUND(PMT(SYS!$AG$52/12,D$8-3,$M$32),2))+P49),
IF(SYS!$AU$51="4 міс.% далі ануітет",IF(H49&lt;=4,N49,IF(LEN(H50)=0,N49+M49,ROUND(PMT(SYS!$AG$52/12,D$8-4,$M$32),2))+P49))))))</f>
        <v/>
      </c>
      <c r="M49" s="52" t="str">
        <f>IF(LEN(H49)=0,IF(LEN(H48)&gt;0,SUM(M$32:M48)-M$32,""),IF(LEN(H50)=0,SUM(M$32:M48)*-1,L49-N49-P49))</f>
        <v/>
      </c>
      <c r="N49" s="52" t="str">
        <f>IF(LEN(H49)=0,IF(LEN(H48)&gt;0,SUM(N$32:N48),""),ROUND((SUM(M$32:M48)*-1)*SYS!$AG$52/365*КАЛЬКУЛЯТОР!K49,2))</f>
        <v/>
      </c>
      <c r="O49" s="50" t="str">
        <f t="shared" si="12"/>
        <v/>
      </c>
      <c r="P49" s="52" t="str">
        <f>IF(LEN(H49)=0,IF(LEN(H48)&gt;0,SUM(P$32:P48),""),IF(SYS!$AV$51=SYS!$A$2,SUM(КАЛЬКУЛЯТОР!M$32:M48)*-1*$L$10,M$32*-1*L$10))</f>
        <v/>
      </c>
      <c r="Q49" s="53" t="str">
        <f t="shared" si="13"/>
        <v/>
      </c>
      <c r="R49" s="50" t="str">
        <f t="shared" si="14"/>
        <v/>
      </c>
      <c r="S49" s="50" t="str">
        <f t="shared" si="15"/>
        <v/>
      </c>
      <c r="T49" s="50" t="str">
        <f t="shared" si="16"/>
        <v/>
      </c>
      <c r="Y49" s="54" t="str">
        <f t="shared" si="17"/>
        <v/>
      </c>
      <c r="Z49" s="50" t="str">
        <f t="shared" si="4"/>
        <v/>
      </c>
    </row>
    <row r="50" spans="1:26" x14ac:dyDescent="0.2">
      <c r="A50" s="17" t="str">
        <f t="shared" si="2"/>
        <v/>
      </c>
      <c r="B50" s="42" t="str">
        <f t="shared" si="19"/>
        <v/>
      </c>
      <c r="C50" s="17">
        <f t="shared" si="5"/>
        <v>0</v>
      </c>
      <c r="D50" s="17">
        <f t="shared" si="6"/>
        <v>0</v>
      </c>
      <c r="E50" s="17">
        <f t="shared" ca="1" si="7"/>
        <v>4</v>
      </c>
      <c r="F50" s="49">
        <f t="shared" ca="1" si="18"/>
        <v>46744</v>
      </c>
      <c r="G50" s="17">
        <v>18</v>
      </c>
      <c r="H50" s="17" t="str">
        <f t="shared" si="8"/>
        <v/>
      </c>
      <c r="I50" s="50" t="str">
        <f t="shared" si="9"/>
        <v/>
      </c>
      <c r="J50" s="51" t="str">
        <f t="shared" si="10"/>
        <v/>
      </c>
      <c r="K50" s="50" t="str">
        <f t="shared" si="11"/>
        <v/>
      </c>
      <c r="L50" s="52" t="str">
        <f>IF(LEN(H50)=0,IF(LEN(H49)&gt;0,SUM(L$32:L49)-L$32,""),IF(SYS!$AU$51="ануітет",IF(LEN(H51)=0,N50+M50,ROUND(PMT(SYS!$AG$52/12,D$8,$M$32),2))+P50,
IF(SYS!$AU$51="6 міс.% далі ануітет",IF(H50&lt;=6,N50,IF(LEN(H51)=0,N50+M50,ROUND(PMT(SYS!$AG$52/12,D$8-6,$M$32),2))+P50),
IF(SYS!$AU$51="3 міс.% далі ануітет",IF(H50&lt;=3,N50,IF(LEN(H51)=0,N50+M50,ROUND(PMT(SYS!$AG$52/12,D$8-3,$M$32),2))+P50),
IF(SYS!$AU$51="4 міс.% далі ануітет",IF(H50&lt;=4,N50,IF(LEN(H51)=0,N50+M50,ROUND(PMT(SYS!$AG$52/12,D$8-4,$M$32),2))+P50))))))</f>
        <v/>
      </c>
      <c r="M50" s="52" t="str">
        <f>IF(LEN(H50)=0,IF(LEN(H49)&gt;0,SUM(M$32:M49)-M$32,""),IF(LEN(H51)=0,SUM(M$32:M49)*-1,L50-N50-P50))</f>
        <v/>
      </c>
      <c r="N50" s="52" t="str">
        <f>IF(LEN(H50)=0,IF(LEN(H49)&gt;0,SUM(N$32:N49),""),ROUND((SUM(M$32:M49)*-1)*SYS!$AG$52/365*КАЛЬКУЛЯТОР!K50,2))</f>
        <v/>
      </c>
      <c r="O50" s="50" t="str">
        <f t="shared" si="12"/>
        <v/>
      </c>
      <c r="P50" s="52" t="str">
        <f>IF(LEN(H50)=0,IF(LEN(H49)&gt;0,SUM(P$32:P49),""),IF(SYS!$AV$51=SYS!$A$2,SUM(КАЛЬКУЛЯТОР!M$32:M49)*-1*$L$10,M$32*-1*L$10))</f>
        <v/>
      </c>
      <c r="Q50" s="53" t="str">
        <f t="shared" si="13"/>
        <v/>
      </c>
      <c r="R50" s="50" t="str">
        <f t="shared" si="14"/>
        <v/>
      </c>
      <c r="S50" s="50" t="str">
        <f t="shared" si="15"/>
        <v/>
      </c>
      <c r="T50" s="50" t="str">
        <f t="shared" si="16"/>
        <v/>
      </c>
      <c r="Y50" s="54" t="str">
        <f t="shared" si="17"/>
        <v/>
      </c>
      <c r="Z50" s="50" t="str">
        <f t="shared" si="4"/>
        <v/>
      </c>
    </row>
    <row r="51" spans="1:26" x14ac:dyDescent="0.2">
      <c r="A51" s="17" t="str">
        <f t="shared" si="2"/>
        <v/>
      </c>
      <c r="B51" s="42" t="str">
        <f t="shared" si="19"/>
        <v/>
      </c>
      <c r="C51" s="17">
        <f t="shared" si="5"/>
        <v>0</v>
      </c>
      <c r="D51" s="17">
        <f t="shared" si="6"/>
        <v>0</v>
      </c>
      <c r="E51" s="17">
        <f t="shared" ca="1" si="7"/>
        <v>7</v>
      </c>
      <c r="F51" s="49">
        <f t="shared" ca="1" si="18"/>
        <v>46775</v>
      </c>
      <c r="G51" s="17">
        <v>19</v>
      </c>
      <c r="H51" s="17" t="str">
        <f t="shared" si="8"/>
        <v/>
      </c>
      <c r="I51" s="50" t="str">
        <f t="shared" si="9"/>
        <v/>
      </c>
      <c r="J51" s="51" t="str">
        <f t="shared" si="10"/>
        <v/>
      </c>
      <c r="K51" s="50" t="str">
        <f t="shared" si="11"/>
        <v/>
      </c>
      <c r="L51" s="52" t="str">
        <f>IF(LEN(H51)=0,IF(LEN(H50)&gt;0,SUM(L$32:L50)-L$32,""),IF(SYS!$AU$51="ануітет",IF(LEN(H52)=0,N51+M51,ROUND(PMT(SYS!$AG$52/12,D$8,$M$32),2))+P51,
IF(SYS!$AU$51="6 міс.% далі ануітет",IF(H51&lt;=6,N51,IF(LEN(H52)=0,N51+M51,ROUND(PMT(SYS!$AG$52/12,D$8-6,$M$32),2))+P51),
IF(SYS!$AU$51="3 міс.% далі ануітет",IF(H51&lt;=3,N51,IF(LEN(H52)=0,N51+M51,ROUND(PMT(SYS!$AG$52/12,D$8-3,$M$32),2))+P51),
IF(SYS!$AU$51="4 міс.% далі ануітет",IF(H51&lt;=4,N51,IF(LEN(H52)=0,N51+M51,ROUND(PMT(SYS!$AG$52/12,D$8-4,$M$32),2))+P51))))))</f>
        <v/>
      </c>
      <c r="M51" s="52" t="str">
        <f>IF(LEN(H51)=0,IF(LEN(H50)&gt;0,SUM(M$32:M50)-M$32,""),IF(LEN(H52)=0,SUM(M$32:M50)*-1,L51-N51-P51))</f>
        <v/>
      </c>
      <c r="N51" s="52" t="str">
        <f>IF(LEN(H51)=0,IF(LEN(H50)&gt;0,SUM(N$32:N50),""),ROUND((SUM(M$32:M50)*-1)*SYS!$AG$52/365*КАЛЬКУЛЯТОР!K51,2))</f>
        <v/>
      </c>
      <c r="O51" s="50" t="str">
        <f t="shared" si="12"/>
        <v/>
      </c>
      <c r="P51" s="52" t="str">
        <f>IF(LEN(H51)=0,IF(LEN(H50)&gt;0,SUM(P$32:P50),""),IF(SYS!$AV$51=SYS!$A$2,SUM(КАЛЬКУЛЯТОР!M$32:M50)*-1*$L$10,M$32*-1*L$10))</f>
        <v/>
      </c>
      <c r="Q51" s="53" t="str">
        <f t="shared" si="13"/>
        <v/>
      </c>
      <c r="R51" s="50" t="str">
        <f t="shared" si="14"/>
        <v/>
      </c>
      <c r="S51" s="50" t="str">
        <f t="shared" si="15"/>
        <v/>
      </c>
      <c r="T51" s="50" t="str">
        <f t="shared" si="16"/>
        <v/>
      </c>
      <c r="Y51" s="54" t="str">
        <f t="shared" ref="Y51:Y114" si="20">IF(LEN(H51)=0,IF(LEN(H50)&gt;0,$L$21,""),"Х")</f>
        <v/>
      </c>
      <c r="Z51" s="50" t="str">
        <f t="shared" si="4"/>
        <v/>
      </c>
    </row>
    <row r="52" spans="1:26" x14ac:dyDescent="0.2">
      <c r="A52" s="17" t="str">
        <f t="shared" si="2"/>
        <v/>
      </c>
      <c r="B52" s="42" t="str">
        <f t="shared" si="19"/>
        <v/>
      </c>
      <c r="C52" s="17">
        <f t="shared" si="5"/>
        <v>0</v>
      </c>
      <c r="D52" s="17">
        <f t="shared" si="6"/>
        <v>0</v>
      </c>
      <c r="E52" s="17">
        <f t="shared" ca="1" si="7"/>
        <v>3</v>
      </c>
      <c r="F52" s="49">
        <f t="shared" ca="1" si="18"/>
        <v>46806</v>
      </c>
      <c r="G52" s="17">
        <v>20</v>
      </c>
      <c r="H52" s="17" t="str">
        <f t="shared" si="8"/>
        <v/>
      </c>
      <c r="I52" s="50" t="str">
        <f t="shared" si="9"/>
        <v/>
      </c>
      <c r="J52" s="51" t="str">
        <f t="shared" si="10"/>
        <v/>
      </c>
      <c r="K52" s="50" t="str">
        <f t="shared" si="11"/>
        <v/>
      </c>
      <c r="L52" s="52" t="str">
        <f>IF(LEN(H52)=0,IF(LEN(H51)&gt;0,SUM(L$32:L51)-L$32,""),IF(SYS!$AU$51="ануітет",IF(LEN(H53)=0,N52+M52,ROUND(PMT(SYS!$AG$52/12,D$8,$M$32),2))+P52,
IF(SYS!$AU$51="6 міс.% далі ануітет",IF(H52&lt;=6,N52,IF(LEN(H53)=0,N52+M52,ROUND(PMT(SYS!$AG$52/12,D$8-6,$M$32),2))+P52),
IF(SYS!$AU$51="3 міс.% далі ануітет",IF(H52&lt;=3,N52,IF(LEN(H53)=0,N52+M52,ROUND(PMT(SYS!$AG$52/12,D$8-3,$M$32),2))+P52),
IF(SYS!$AU$51="4 міс.% далі ануітет",IF(H52&lt;=4,N52,IF(LEN(H53)=0,N52+M52,ROUND(PMT(SYS!$AG$52/12,D$8-4,$M$32),2))+P52))))))</f>
        <v/>
      </c>
      <c r="M52" s="52" t="str">
        <f>IF(LEN(H52)=0,IF(LEN(H51)&gt;0,SUM(M$32:M51)-M$32,""),IF(LEN(H53)=0,SUM(M$32:M51)*-1,L52-N52-P52))</f>
        <v/>
      </c>
      <c r="N52" s="52" t="str">
        <f>IF(LEN(H52)=0,IF(LEN(H51)&gt;0,SUM(N$32:N51),""),ROUND((SUM(M$32:M51)*-1)*SYS!$AG$52/365*КАЛЬКУЛЯТОР!K52,2))</f>
        <v/>
      </c>
      <c r="O52" s="50" t="str">
        <f t="shared" si="12"/>
        <v/>
      </c>
      <c r="P52" s="52" t="str">
        <f>IF(LEN(H52)=0,IF(LEN(H51)&gt;0,SUM(P$32:P51),""),IF(SYS!$AV$51=SYS!$A$2,SUM(КАЛЬКУЛЯТОР!M$32:M51)*-1*$L$10,M$32*-1*L$10))</f>
        <v/>
      </c>
      <c r="Q52" s="53" t="str">
        <f t="shared" si="13"/>
        <v/>
      </c>
      <c r="R52" s="50" t="str">
        <f t="shared" si="14"/>
        <v/>
      </c>
      <c r="S52" s="50" t="str">
        <f t="shared" si="15"/>
        <v/>
      </c>
      <c r="T52" s="50" t="str">
        <f t="shared" si="16"/>
        <v/>
      </c>
      <c r="Y52" s="54" t="str">
        <f t="shared" si="20"/>
        <v/>
      </c>
      <c r="Z52" s="50" t="str">
        <f t="shared" si="4"/>
        <v/>
      </c>
    </row>
    <row r="53" spans="1:26" x14ac:dyDescent="0.2">
      <c r="A53" s="17" t="str">
        <f t="shared" si="2"/>
        <v/>
      </c>
      <c r="B53" s="42" t="str">
        <f t="shared" si="19"/>
        <v/>
      </c>
      <c r="C53" s="17">
        <f t="shared" si="5"/>
        <v>0</v>
      </c>
      <c r="D53" s="17">
        <f t="shared" si="6"/>
        <v>0</v>
      </c>
      <c r="E53" s="17">
        <f t="shared" ca="1" si="7"/>
        <v>4</v>
      </c>
      <c r="F53" s="49">
        <f t="shared" ca="1" si="18"/>
        <v>46835</v>
      </c>
      <c r="G53" s="17">
        <v>21</v>
      </c>
      <c r="H53" s="17" t="str">
        <f t="shared" si="8"/>
        <v/>
      </c>
      <c r="I53" s="50" t="str">
        <f t="shared" si="9"/>
        <v/>
      </c>
      <c r="J53" s="51" t="str">
        <f t="shared" si="10"/>
        <v/>
      </c>
      <c r="K53" s="50" t="str">
        <f t="shared" si="11"/>
        <v/>
      </c>
      <c r="L53" s="52" t="str">
        <f>IF(LEN(H53)=0,IF(LEN(H52)&gt;0,SUM(L$32:L52)-L$32,""),IF(SYS!$AU$51="ануітет",IF(LEN(H54)=0,N53+M53,ROUND(PMT(SYS!$AG$52/12,D$8,$M$32),2))+P53,
IF(SYS!$AU$51="6 міс.% далі ануітет",IF(H53&lt;=6,N53,IF(LEN(H54)=0,N53+M53,ROUND(PMT(SYS!$AG$52/12,D$8-6,$M$32),2))+P53),
IF(SYS!$AU$51="3 міс.% далі ануітет",IF(H53&lt;=3,N53,IF(LEN(H54)=0,N53+M53,ROUND(PMT(SYS!$AG$52/12,D$8-3,$M$32),2))+P53),
IF(SYS!$AU$51="4 міс.% далі ануітет",IF(H53&lt;=4,N53,IF(LEN(H54)=0,N53+M53,ROUND(PMT(SYS!$AG$52/12,D$8-4,$M$32),2))+P53))))))</f>
        <v/>
      </c>
      <c r="M53" s="52" t="str">
        <f>IF(LEN(H53)=0,IF(LEN(H52)&gt;0,SUM(M$32:M52)-M$32,""),IF(LEN(H54)=0,SUM(M$32:M52)*-1,L53-N53-P53))</f>
        <v/>
      </c>
      <c r="N53" s="52" t="str">
        <f>IF(LEN(H53)=0,IF(LEN(H52)&gt;0,SUM(N$32:N52),""),ROUND((SUM(M$32:M52)*-1)*SYS!$AG$52/365*КАЛЬКУЛЯТОР!K53,2))</f>
        <v/>
      </c>
      <c r="O53" s="50" t="str">
        <f t="shared" si="12"/>
        <v/>
      </c>
      <c r="P53" s="52" t="str">
        <f>IF(LEN(H53)=0,IF(LEN(H52)&gt;0,SUM(P$32:P52),""),IF(SYS!$AV$51=SYS!$A$2,SUM(КАЛЬКУЛЯТОР!M$32:M52)*-1*$L$10,M$32*-1*L$10))</f>
        <v/>
      </c>
      <c r="Q53" s="53" t="str">
        <f t="shared" si="13"/>
        <v/>
      </c>
      <c r="R53" s="50" t="str">
        <f t="shared" si="14"/>
        <v/>
      </c>
      <c r="S53" s="50" t="str">
        <f t="shared" si="15"/>
        <v/>
      </c>
      <c r="T53" s="50" t="str">
        <f t="shared" si="16"/>
        <v/>
      </c>
      <c r="Y53" s="54" t="str">
        <f t="shared" si="20"/>
        <v/>
      </c>
      <c r="Z53" s="50" t="str">
        <f t="shared" si="4"/>
        <v/>
      </c>
    </row>
    <row r="54" spans="1:26" x14ac:dyDescent="0.2">
      <c r="A54" s="17" t="str">
        <f t="shared" si="2"/>
        <v/>
      </c>
      <c r="B54" s="42" t="str">
        <f t="shared" si="19"/>
        <v/>
      </c>
      <c r="C54" s="17">
        <f t="shared" si="5"/>
        <v>0</v>
      </c>
      <c r="D54" s="17">
        <f t="shared" si="6"/>
        <v>0</v>
      </c>
      <c r="E54" s="17">
        <f t="shared" ca="1" si="7"/>
        <v>7</v>
      </c>
      <c r="F54" s="49">
        <f t="shared" ca="1" si="18"/>
        <v>46866</v>
      </c>
      <c r="G54" s="17">
        <v>22</v>
      </c>
      <c r="H54" s="17" t="str">
        <f t="shared" si="8"/>
        <v/>
      </c>
      <c r="I54" s="50" t="str">
        <f t="shared" si="9"/>
        <v/>
      </c>
      <c r="J54" s="51" t="str">
        <f t="shared" si="10"/>
        <v/>
      </c>
      <c r="K54" s="50" t="str">
        <f t="shared" si="11"/>
        <v/>
      </c>
      <c r="L54" s="52" t="str">
        <f>IF(LEN(H54)=0,IF(LEN(H53)&gt;0,SUM(L$32:L53)-L$32,""),IF(SYS!$AU$51="ануітет",IF(LEN(H55)=0,N54+M54,ROUND(PMT(SYS!$AG$52/12,D$8,$M$32),2))+P54,
IF(SYS!$AU$51="6 міс.% далі ануітет",IF(H54&lt;=6,N54,IF(LEN(H55)=0,N54+M54,ROUND(PMT(SYS!$AG$52/12,D$8-6,$M$32),2))+P54),
IF(SYS!$AU$51="3 міс.% далі ануітет",IF(H54&lt;=3,N54,IF(LEN(H55)=0,N54+M54,ROUND(PMT(SYS!$AG$52/12,D$8-3,$M$32),2))+P54),
IF(SYS!$AU$51="4 міс.% далі ануітет",IF(H54&lt;=4,N54,IF(LEN(H55)=0,N54+M54,ROUND(PMT(SYS!$AG$52/12,D$8-4,$M$32),2))+P54))))))</f>
        <v/>
      </c>
      <c r="M54" s="52" t="str">
        <f>IF(LEN(H54)=0,IF(LEN(H53)&gt;0,SUM(M$32:M53)-M$32,""),IF(LEN(H55)=0,SUM(M$32:M53)*-1,L54-N54-P54))</f>
        <v/>
      </c>
      <c r="N54" s="52" t="str">
        <f>IF(LEN(H54)=0,IF(LEN(H53)&gt;0,SUM(N$32:N53),""),ROUND((SUM(M$32:M53)*-1)*SYS!$AG$52/365*КАЛЬКУЛЯТОР!K54,2))</f>
        <v/>
      </c>
      <c r="O54" s="50" t="str">
        <f t="shared" si="12"/>
        <v/>
      </c>
      <c r="P54" s="52" t="str">
        <f>IF(LEN(H54)=0,IF(LEN(H53)&gt;0,SUM(P$32:P53),""),IF(SYS!$AV$51=SYS!$A$2,SUM(КАЛЬКУЛЯТОР!M$32:M53)*-1*$L$10,M$32*-1*L$10))</f>
        <v/>
      </c>
      <c r="Q54" s="53" t="str">
        <f t="shared" si="13"/>
        <v/>
      </c>
      <c r="R54" s="50" t="str">
        <f t="shared" si="14"/>
        <v/>
      </c>
      <c r="S54" s="50" t="str">
        <f t="shared" si="15"/>
        <v/>
      </c>
      <c r="T54" s="50" t="str">
        <f t="shared" si="16"/>
        <v/>
      </c>
      <c r="Y54" s="54" t="str">
        <f t="shared" si="20"/>
        <v/>
      </c>
      <c r="Z54" s="50" t="str">
        <f t="shared" si="4"/>
        <v/>
      </c>
    </row>
    <row r="55" spans="1:26" x14ac:dyDescent="0.2">
      <c r="A55" s="17" t="str">
        <f t="shared" si="2"/>
        <v/>
      </c>
      <c r="B55" s="42" t="str">
        <f t="shared" si="19"/>
        <v/>
      </c>
      <c r="C55" s="17">
        <f t="shared" si="5"/>
        <v>0</v>
      </c>
      <c r="D55" s="17">
        <f t="shared" si="6"/>
        <v>0</v>
      </c>
      <c r="E55" s="17">
        <f t="shared" ca="1" si="7"/>
        <v>2</v>
      </c>
      <c r="F55" s="49">
        <f t="shared" ca="1" si="18"/>
        <v>46896</v>
      </c>
      <c r="G55" s="17">
        <v>23</v>
      </c>
      <c r="H55" s="17" t="str">
        <f t="shared" si="8"/>
        <v/>
      </c>
      <c r="I55" s="50" t="str">
        <f t="shared" si="9"/>
        <v/>
      </c>
      <c r="J55" s="51" t="str">
        <f t="shared" si="10"/>
        <v/>
      </c>
      <c r="K55" s="50" t="str">
        <f t="shared" si="11"/>
        <v/>
      </c>
      <c r="L55" s="52" t="str">
        <f>IF(LEN(H55)=0,IF(LEN(H54)&gt;0,SUM(L$32:L54)-L$32,""),IF(SYS!$AU$51="ануітет",IF(LEN(H56)=0,N55+M55,ROUND(PMT(SYS!$AG$52/12,D$8,$M$32),2))+P55,
IF(SYS!$AU$51="6 міс.% далі ануітет",IF(H55&lt;=6,N55,IF(LEN(H56)=0,N55+M55,ROUND(PMT(SYS!$AG$52/12,D$8-6,$M$32),2))+P55),
IF(SYS!$AU$51="3 міс.% далі ануітет",IF(H55&lt;=3,N55,IF(LEN(H56)=0,N55+M55,ROUND(PMT(SYS!$AG$52/12,D$8-3,$M$32),2))+P55),
IF(SYS!$AU$51="4 міс.% далі ануітет",IF(H55&lt;=4,N55,IF(LEN(H56)=0,N55+M55,ROUND(PMT(SYS!$AG$52/12,D$8-4,$M$32),2))+P55))))))</f>
        <v/>
      </c>
      <c r="M55" s="52" t="str">
        <f>IF(LEN(H55)=0,IF(LEN(H54)&gt;0,SUM(M$32:M54)-M$32,""),IF(LEN(H56)=0,SUM(M$32:M54)*-1,L55-N55-P55))</f>
        <v/>
      </c>
      <c r="N55" s="52" t="str">
        <f>IF(LEN(H55)=0,IF(LEN(H54)&gt;0,SUM(N$32:N54),""),ROUND((SUM(M$32:M54)*-1)*SYS!$AG$52/365*КАЛЬКУЛЯТОР!K55,2))</f>
        <v/>
      </c>
      <c r="O55" s="50" t="str">
        <f t="shared" si="12"/>
        <v/>
      </c>
      <c r="P55" s="52" t="str">
        <f>IF(LEN(H55)=0,IF(LEN(H54)&gt;0,SUM(P$32:P54),""),IF(SYS!$AV$51=SYS!$A$2,SUM(КАЛЬКУЛЯТОР!M$32:M54)*-1*$L$10,M$32*-1*L$10))</f>
        <v/>
      </c>
      <c r="Q55" s="53" t="str">
        <f t="shared" si="13"/>
        <v/>
      </c>
      <c r="R55" s="50" t="str">
        <f t="shared" si="14"/>
        <v/>
      </c>
      <c r="S55" s="50" t="str">
        <f t="shared" si="15"/>
        <v/>
      </c>
      <c r="T55" s="50" t="str">
        <f t="shared" si="16"/>
        <v/>
      </c>
      <c r="Y55" s="54" t="str">
        <f t="shared" si="20"/>
        <v/>
      </c>
      <c r="Z55" s="50" t="str">
        <f t="shared" si="4"/>
        <v/>
      </c>
    </row>
    <row r="56" spans="1:26" x14ac:dyDescent="0.2">
      <c r="A56" s="17" t="str">
        <f t="shared" si="2"/>
        <v/>
      </c>
      <c r="B56" s="42" t="str">
        <f t="shared" si="19"/>
        <v/>
      </c>
      <c r="C56" s="17">
        <f t="shared" si="5"/>
        <v>0</v>
      </c>
      <c r="D56" s="17">
        <f t="shared" si="6"/>
        <v>0</v>
      </c>
      <c r="E56" s="17">
        <f t="shared" ca="1" si="7"/>
        <v>5</v>
      </c>
      <c r="F56" s="49">
        <f t="shared" ca="1" si="18"/>
        <v>46927</v>
      </c>
      <c r="G56" s="17">
        <v>24</v>
      </c>
      <c r="H56" s="17" t="str">
        <f t="shared" si="8"/>
        <v/>
      </c>
      <c r="I56" s="50" t="str">
        <f t="shared" si="9"/>
        <v/>
      </c>
      <c r="J56" s="51" t="str">
        <f t="shared" si="10"/>
        <v/>
      </c>
      <c r="K56" s="50" t="str">
        <f t="shared" si="11"/>
        <v/>
      </c>
      <c r="L56" s="52" t="str">
        <f>IF(LEN(H56)=0,IF(LEN(H55)&gt;0,SUM(L$32:L55)-L$32,""),IF(SYS!$AU$51="ануітет",IF(LEN(H57)=0,N56+M56,ROUND(PMT(SYS!$AG$52/12,D$8,$M$32),2))+P56,
IF(SYS!$AU$51="6 міс.% далі ануітет",IF(H56&lt;=6,N56,IF(LEN(H57)=0,N56+M56,ROUND(PMT(SYS!$AG$52/12,D$8-6,$M$32),2))+P56),
IF(SYS!$AU$51="3 міс.% далі ануітет",IF(H56&lt;=3,N56,IF(LEN(H57)=0,N56+M56,ROUND(PMT(SYS!$AG$52/12,D$8-3,$M$32),2))+P56),
IF(SYS!$AU$51="4 міс.% далі ануітет",IF(H56&lt;=4,N56,IF(LEN(H57)=0,N56+M56,ROUND(PMT(SYS!$AG$52/12,D$8-4,$M$32),2))+P56))))))</f>
        <v/>
      </c>
      <c r="M56" s="52" t="str">
        <f>IF(LEN(H56)=0,IF(LEN(H55)&gt;0,SUM(M$32:M55)-M$32,""),IF(LEN(H57)=0,SUM(M$32:M55)*-1,L56-N56-P56))</f>
        <v/>
      </c>
      <c r="N56" s="52" t="str">
        <f>IF(LEN(H56)=0,IF(LEN(H55)&gt;0,SUM(N$32:N55),""),ROUND((SUM(M$32:M55)*-1)*SYS!$AG$52/365*КАЛЬКУЛЯТОР!K56,2))</f>
        <v/>
      </c>
      <c r="O56" s="50" t="str">
        <f t="shared" si="12"/>
        <v/>
      </c>
      <c r="P56" s="52" t="str">
        <f>IF(LEN(H56)=0,IF(LEN(H55)&gt;0,SUM(P$32:P55),""),IF(SYS!$AV$51=SYS!$A$2,SUM(КАЛЬКУЛЯТОР!M$32:M55)*-1*$L$10,M$32*-1*L$10))</f>
        <v/>
      </c>
      <c r="Q56" s="53" t="str">
        <f t="shared" si="13"/>
        <v/>
      </c>
      <c r="R56" s="50" t="str">
        <f t="shared" si="14"/>
        <v/>
      </c>
      <c r="S56" s="50" t="str">
        <f t="shared" si="15"/>
        <v/>
      </c>
      <c r="T56" s="50" t="str">
        <f t="shared" si="16"/>
        <v/>
      </c>
      <c r="Y56" s="54" t="str">
        <f t="shared" si="20"/>
        <v/>
      </c>
      <c r="Z56" s="50" t="str">
        <f t="shared" si="4"/>
        <v/>
      </c>
    </row>
    <row r="57" spans="1:26" x14ac:dyDescent="0.2">
      <c r="A57" s="17" t="str">
        <f t="shared" si="2"/>
        <v/>
      </c>
      <c r="B57" s="42" t="str">
        <f t="shared" si="19"/>
        <v/>
      </c>
      <c r="C57" s="17">
        <f t="shared" si="5"/>
        <v>0</v>
      </c>
      <c r="D57" s="17">
        <f t="shared" si="6"/>
        <v>0</v>
      </c>
      <c r="E57" s="17">
        <f t="shared" ca="1" si="7"/>
        <v>7</v>
      </c>
      <c r="F57" s="49">
        <f t="shared" ca="1" si="18"/>
        <v>46957</v>
      </c>
      <c r="G57" s="17">
        <v>25</v>
      </c>
      <c r="H57" s="17" t="str">
        <f t="shared" si="8"/>
        <v/>
      </c>
      <c r="I57" s="50" t="str">
        <f t="shared" si="9"/>
        <v/>
      </c>
      <c r="J57" s="51" t="str">
        <f t="shared" si="10"/>
        <v/>
      </c>
      <c r="K57" s="50" t="str">
        <f t="shared" si="11"/>
        <v/>
      </c>
      <c r="L57" s="52" t="str">
        <f>IF(LEN(H57)=0,IF(LEN(H56)&gt;0,SUM(L$32:L56)-L$32,""),IF(SYS!$AU$51="ануітет",IF(LEN(H58)=0,N57+M57,ROUND(PMT(SYS!$AG$52/12,D$8,$M$32),2))+P57,
IF(SYS!$AU$51="6 міс.% далі ануітет",IF(H57&lt;=6,N57,IF(LEN(H58)=0,N57+M57,ROUND(PMT(SYS!$AG$52/12,D$8-6,$M$32),2))+P57),
IF(SYS!$AU$51="3 міс.% далі ануітет",IF(H57&lt;=3,N57,IF(LEN(H58)=0,N57+M57,ROUND(PMT(SYS!$AG$52/12,D$8-3,$M$32),2))+P57),
IF(SYS!$AU$51="4 міс.% далі ануітет",IF(H57&lt;=4,N57,IF(LEN(H58)=0,N57+M57,ROUND(PMT(SYS!$AG$52/12,D$8-4,$M$32),2))+P57))))))</f>
        <v/>
      </c>
      <c r="M57" s="52" t="str">
        <f>IF(LEN(H57)=0,IF(LEN(H56)&gt;0,SUM(M$32:M56)-M$32,""),IF(LEN(H58)=0,SUM(M$32:M56)*-1,L57-N57-P57))</f>
        <v/>
      </c>
      <c r="N57" s="52" t="str">
        <f>IF(LEN(H57)=0,IF(LEN(H56)&gt;0,SUM(N$32:N56),""),ROUND((SUM(M$32:M56)*-1)*SYS!$AG$52/365*КАЛЬКУЛЯТОР!K57,2))</f>
        <v/>
      </c>
      <c r="O57" s="50" t="str">
        <f t="shared" si="12"/>
        <v/>
      </c>
      <c r="P57" s="52" t="str">
        <f>IF(LEN(H57)=0,IF(LEN(H56)&gt;0,SUM(P$32:P56),""),IF(SYS!$AV$51=SYS!$A$2,SUM(КАЛЬКУЛЯТОР!M$32:M56)*-1*$L$10,M$32*-1*L$10))</f>
        <v/>
      </c>
      <c r="Q57" s="53" t="str">
        <f t="shared" si="13"/>
        <v/>
      </c>
      <c r="R57" s="50" t="str">
        <f t="shared" si="14"/>
        <v/>
      </c>
      <c r="S57" s="50" t="str">
        <f t="shared" si="15"/>
        <v/>
      </c>
      <c r="T57" s="50" t="str">
        <f t="shared" si="16"/>
        <v/>
      </c>
      <c r="Y57" s="54" t="str">
        <f t="shared" si="20"/>
        <v/>
      </c>
      <c r="Z57" s="50" t="str">
        <f t="shared" si="4"/>
        <v/>
      </c>
    </row>
    <row r="58" spans="1:26" x14ac:dyDescent="0.2">
      <c r="A58" s="17" t="str">
        <f t="shared" si="2"/>
        <v/>
      </c>
      <c r="B58" s="42" t="str">
        <f t="shared" si="19"/>
        <v/>
      </c>
      <c r="C58" s="17">
        <f t="shared" si="5"/>
        <v>0</v>
      </c>
      <c r="D58" s="17">
        <f t="shared" si="6"/>
        <v>0</v>
      </c>
      <c r="E58" s="17">
        <f t="shared" ca="1" si="7"/>
        <v>3</v>
      </c>
      <c r="F58" s="49">
        <f t="shared" ca="1" si="18"/>
        <v>46988</v>
      </c>
      <c r="G58" s="17">
        <v>26</v>
      </c>
      <c r="H58" s="17" t="str">
        <f t="shared" si="8"/>
        <v/>
      </c>
      <c r="I58" s="50" t="str">
        <f t="shared" si="9"/>
        <v/>
      </c>
      <c r="J58" s="51" t="str">
        <f t="shared" si="10"/>
        <v/>
      </c>
      <c r="K58" s="50" t="str">
        <f t="shared" si="11"/>
        <v/>
      </c>
      <c r="L58" s="52" t="str">
        <f>IF(LEN(H58)=0,IF(LEN(H57)&gt;0,SUM(L$32:L57)-L$32,""),IF(SYS!$AU$51="ануітет",IF(LEN(H59)=0,N58+M58,ROUND(PMT(SYS!$AG$52/12,D$8,$M$32),2))+P58,
IF(SYS!$AU$51="6 міс.% далі ануітет",IF(H58&lt;=6,N58,IF(LEN(H59)=0,N58+M58,ROUND(PMT(SYS!$AG$52/12,D$8-6,$M$32),2))+P58),
IF(SYS!$AU$51="3 міс.% далі ануітет",IF(H58&lt;=3,N58,IF(LEN(H59)=0,N58+M58,ROUND(PMT(SYS!$AG$52/12,D$8-3,$M$32),2))+P58),
IF(SYS!$AU$51="4 міс.% далі ануітет",IF(H58&lt;=4,N58,IF(LEN(H59)=0,N58+M58,ROUND(PMT(SYS!$AG$52/12,D$8-4,$M$32),2))+P58))))))</f>
        <v/>
      </c>
      <c r="M58" s="52" t="str">
        <f>IF(LEN(H58)=0,IF(LEN(H57)&gt;0,SUM(M$32:M57)-M$32,""),IF(LEN(H59)=0,SUM(M$32:M57)*-1,L58-N58-P58))</f>
        <v/>
      </c>
      <c r="N58" s="52" t="str">
        <f>IF(LEN(H58)=0,IF(LEN(H57)&gt;0,SUM(N$32:N57),""),ROUND((SUM(M$32:M57)*-1)*SYS!$AG$52/365*КАЛЬКУЛЯТОР!K58,2))</f>
        <v/>
      </c>
      <c r="O58" s="50" t="str">
        <f t="shared" si="12"/>
        <v/>
      </c>
      <c r="P58" s="52" t="str">
        <f>IF(LEN(H58)=0,IF(LEN(H57)&gt;0,SUM(P$32:P57),""),IF(SYS!$AV$51=SYS!$A$2,SUM(КАЛЬКУЛЯТОР!M$32:M57)*-1*$L$10,M$32*-1*L$10))</f>
        <v/>
      </c>
      <c r="Q58" s="53" t="str">
        <f t="shared" si="13"/>
        <v/>
      </c>
      <c r="R58" s="50" t="str">
        <f t="shared" si="14"/>
        <v/>
      </c>
      <c r="S58" s="50" t="str">
        <f t="shared" si="15"/>
        <v/>
      </c>
      <c r="T58" s="50" t="str">
        <f t="shared" si="16"/>
        <v/>
      </c>
      <c r="Y58" s="54" t="str">
        <f t="shared" si="20"/>
        <v/>
      </c>
      <c r="Z58" s="50" t="str">
        <f t="shared" si="4"/>
        <v/>
      </c>
    </row>
    <row r="59" spans="1:26" x14ac:dyDescent="0.2">
      <c r="A59" s="17" t="str">
        <f t="shared" si="2"/>
        <v/>
      </c>
      <c r="B59" s="42" t="str">
        <f t="shared" si="19"/>
        <v/>
      </c>
      <c r="C59" s="17">
        <f t="shared" si="5"/>
        <v>0</v>
      </c>
      <c r="D59" s="17">
        <f t="shared" si="6"/>
        <v>0</v>
      </c>
      <c r="E59" s="17">
        <f t="shared" ca="1" si="7"/>
        <v>6</v>
      </c>
      <c r="F59" s="49">
        <f t="shared" ca="1" si="18"/>
        <v>47019</v>
      </c>
      <c r="G59" s="17">
        <v>27</v>
      </c>
      <c r="H59" s="17" t="str">
        <f t="shared" si="8"/>
        <v/>
      </c>
      <c r="I59" s="50" t="str">
        <f t="shared" si="9"/>
        <v/>
      </c>
      <c r="J59" s="51" t="str">
        <f t="shared" si="10"/>
        <v/>
      </c>
      <c r="K59" s="50" t="str">
        <f t="shared" si="11"/>
        <v/>
      </c>
      <c r="L59" s="52" t="str">
        <f>IF(LEN(H59)=0,IF(LEN(H58)&gt;0,SUM(L$32:L58)-L$32,""),IF(SYS!$AU$51="ануітет",IF(LEN(H60)=0,N59+M59,ROUND(PMT(SYS!$AG$52/12,D$8,$M$32),2))+P59,
IF(SYS!$AU$51="6 міс.% далі ануітет",IF(H59&lt;=6,N59,IF(LEN(H60)=0,N59+M59,ROUND(PMT(SYS!$AG$52/12,D$8-6,$M$32),2))+P59),
IF(SYS!$AU$51="3 міс.% далі ануітет",IF(H59&lt;=3,N59,IF(LEN(H60)=0,N59+M59,ROUND(PMT(SYS!$AG$52/12,D$8-3,$M$32),2))+P59),
IF(SYS!$AU$51="4 міс.% далі ануітет",IF(H59&lt;=4,N59,IF(LEN(H60)=0,N59+M59,ROUND(PMT(SYS!$AG$52/12,D$8-4,$M$32),2))+P59))))))</f>
        <v/>
      </c>
      <c r="M59" s="52" t="str">
        <f>IF(LEN(H59)=0,IF(LEN(H58)&gt;0,SUM(M$32:M58)-M$32,""),IF(LEN(H60)=0,SUM(M$32:M58)*-1,L59-N59-P59))</f>
        <v/>
      </c>
      <c r="N59" s="52" t="str">
        <f>IF(LEN(H59)=0,IF(LEN(H58)&gt;0,SUM(N$32:N58),""),ROUND((SUM(M$32:M58)*-1)*SYS!$AG$52/365*КАЛЬКУЛЯТОР!K59,2))</f>
        <v/>
      </c>
      <c r="O59" s="50" t="str">
        <f t="shared" si="12"/>
        <v/>
      </c>
      <c r="P59" s="52" t="str">
        <f>IF(LEN(H59)=0,IF(LEN(H58)&gt;0,SUM(P$32:P58),""),IF(SYS!$AV$51=SYS!$A$2,SUM(КАЛЬКУЛЯТОР!M$32:M58)*-1*$L$10,M$32*-1*L$10))</f>
        <v/>
      </c>
      <c r="Q59" s="53" t="str">
        <f t="shared" si="13"/>
        <v/>
      </c>
      <c r="R59" s="50" t="str">
        <f t="shared" si="14"/>
        <v/>
      </c>
      <c r="S59" s="50" t="str">
        <f t="shared" si="15"/>
        <v/>
      </c>
      <c r="T59" s="50" t="str">
        <f t="shared" si="16"/>
        <v/>
      </c>
      <c r="Y59" s="54" t="str">
        <f t="shared" si="20"/>
        <v/>
      </c>
      <c r="Z59" s="50" t="str">
        <f t="shared" si="4"/>
        <v/>
      </c>
    </row>
    <row r="60" spans="1:26" x14ac:dyDescent="0.2">
      <c r="A60" s="17" t="str">
        <f t="shared" si="2"/>
        <v/>
      </c>
      <c r="B60" s="42" t="str">
        <f t="shared" si="19"/>
        <v/>
      </c>
      <c r="C60" s="17">
        <f t="shared" si="5"/>
        <v>0</v>
      </c>
      <c r="D60" s="17">
        <f t="shared" si="6"/>
        <v>0</v>
      </c>
      <c r="E60" s="17">
        <f t="shared" ca="1" si="7"/>
        <v>1</v>
      </c>
      <c r="F60" s="49">
        <f t="shared" ca="1" si="18"/>
        <v>47049</v>
      </c>
      <c r="G60" s="17">
        <v>28</v>
      </c>
      <c r="H60" s="17" t="str">
        <f t="shared" si="8"/>
        <v/>
      </c>
      <c r="I60" s="50" t="str">
        <f t="shared" si="9"/>
        <v/>
      </c>
      <c r="J60" s="51" t="str">
        <f t="shared" si="10"/>
        <v/>
      </c>
      <c r="K60" s="50" t="str">
        <f t="shared" si="11"/>
        <v/>
      </c>
      <c r="L60" s="52" t="str">
        <f>IF(LEN(H60)=0,IF(LEN(H59)&gt;0,SUM(L$32:L59)-L$32,""),IF(SYS!$AU$51="ануітет",IF(LEN(H61)=0,N60+M60,ROUND(PMT(SYS!$AG$52/12,D$8,$M$32),2))+P60,
IF(SYS!$AU$51="6 міс.% далі ануітет",IF(H60&lt;=6,N60,IF(LEN(H61)=0,N60+M60,ROUND(PMT(SYS!$AG$52/12,D$8-6,$M$32),2))+P60),
IF(SYS!$AU$51="3 міс.% далі ануітет",IF(H60&lt;=3,N60,IF(LEN(H61)=0,N60+M60,ROUND(PMT(SYS!$AG$52/12,D$8-3,$M$32),2))+P60),
IF(SYS!$AU$51="4 міс.% далі ануітет",IF(H60&lt;=4,N60,IF(LEN(H61)=0,N60+M60,ROUND(PMT(SYS!$AG$52/12,D$8-4,$M$32),2))+P60))))))</f>
        <v/>
      </c>
      <c r="M60" s="52" t="str">
        <f>IF(LEN(H60)=0,IF(LEN(H59)&gt;0,SUM(M$32:M59)-M$32,""),IF(LEN(H61)=0,SUM(M$32:M59)*-1,L60-N60-P60))</f>
        <v/>
      </c>
      <c r="N60" s="52" t="str">
        <f>IF(LEN(H60)=0,IF(LEN(H59)&gt;0,SUM(N$32:N59),""),ROUND((SUM(M$32:M59)*-1)*SYS!$AG$52/365*КАЛЬКУЛЯТОР!K60,2))</f>
        <v/>
      </c>
      <c r="O60" s="50" t="str">
        <f t="shared" si="12"/>
        <v/>
      </c>
      <c r="P60" s="52" t="str">
        <f>IF(LEN(H60)=0,IF(LEN(H59)&gt;0,SUM(P$32:P59),""),IF(SYS!$AV$51=SYS!$A$2,SUM(КАЛЬКУЛЯТОР!M$32:M59)*-1*$L$10,M$32*-1*L$10))</f>
        <v/>
      </c>
      <c r="Q60" s="53" t="str">
        <f t="shared" si="13"/>
        <v/>
      </c>
      <c r="R60" s="50" t="str">
        <f t="shared" si="14"/>
        <v/>
      </c>
      <c r="S60" s="50" t="str">
        <f t="shared" si="15"/>
        <v/>
      </c>
      <c r="T60" s="50" t="str">
        <f t="shared" si="16"/>
        <v/>
      </c>
      <c r="Y60" s="54" t="str">
        <f t="shared" si="20"/>
        <v/>
      </c>
      <c r="Z60" s="50" t="str">
        <f t="shared" si="4"/>
        <v/>
      </c>
    </row>
    <row r="61" spans="1:26" x14ac:dyDescent="0.2">
      <c r="A61" s="17" t="str">
        <f t="shared" si="2"/>
        <v/>
      </c>
      <c r="B61" s="42" t="str">
        <f t="shared" si="19"/>
        <v/>
      </c>
      <c r="C61" s="17">
        <f t="shared" si="5"/>
        <v>0</v>
      </c>
      <c r="D61" s="17">
        <f t="shared" si="6"/>
        <v>0</v>
      </c>
      <c r="E61" s="17">
        <f t="shared" ca="1" si="7"/>
        <v>4</v>
      </c>
      <c r="F61" s="49">
        <f t="shared" ca="1" si="18"/>
        <v>47080</v>
      </c>
      <c r="G61" s="17">
        <v>29</v>
      </c>
      <c r="H61" s="17" t="str">
        <f t="shared" si="8"/>
        <v/>
      </c>
      <c r="I61" s="50" t="str">
        <f t="shared" si="9"/>
        <v/>
      </c>
      <c r="J61" s="51" t="str">
        <f t="shared" si="10"/>
        <v/>
      </c>
      <c r="K61" s="50" t="str">
        <f t="shared" si="11"/>
        <v/>
      </c>
      <c r="L61" s="52" t="str">
        <f>IF(LEN(H61)=0,IF(LEN(H60)&gt;0,SUM(L$32:L60)-L$32,""),IF(SYS!$AU$51="ануітет",IF(LEN(H62)=0,N61+M61,ROUND(PMT(SYS!$AG$52/12,D$8,$M$32),2))+P61,
IF(SYS!$AU$51="6 міс.% далі ануітет",IF(H61&lt;=6,N61,IF(LEN(H62)=0,N61+M61,ROUND(PMT(SYS!$AG$52/12,D$8-6,$M$32),2))+P61),
IF(SYS!$AU$51="3 міс.% далі ануітет",IF(H61&lt;=3,N61,IF(LEN(H62)=0,N61+M61,ROUND(PMT(SYS!$AG$52/12,D$8-3,$M$32),2))+P61),
IF(SYS!$AU$51="4 міс.% далі ануітет",IF(H61&lt;=4,N61,IF(LEN(H62)=0,N61+M61,ROUND(PMT(SYS!$AG$52/12,D$8-4,$M$32),2))+P61))))))</f>
        <v/>
      </c>
      <c r="M61" s="52" t="str">
        <f>IF(LEN(H61)=0,IF(LEN(H60)&gt;0,SUM(M$32:M60)-M$32,""),IF(LEN(H62)=0,SUM(M$32:M60)*-1,L61-N61-P61))</f>
        <v/>
      </c>
      <c r="N61" s="52" t="str">
        <f>IF(LEN(H61)=0,IF(LEN(H60)&gt;0,SUM(N$32:N60),""),ROUND((SUM(M$32:M60)*-1)*SYS!$AG$52/365*КАЛЬКУЛЯТОР!K61,2))</f>
        <v/>
      </c>
      <c r="O61" s="50" t="str">
        <f t="shared" si="12"/>
        <v/>
      </c>
      <c r="P61" s="52" t="str">
        <f>IF(LEN(H61)=0,IF(LEN(H60)&gt;0,SUM(P$32:P60),""),IF(SYS!$AV$51=SYS!$A$2,SUM(КАЛЬКУЛЯТОР!M$32:M60)*-1*$L$10,M$32*-1*L$10))</f>
        <v/>
      </c>
      <c r="Q61" s="53" t="str">
        <f t="shared" si="13"/>
        <v/>
      </c>
      <c r="R61" s="50" t="str">
        <f t="shared" si="14"/>
        <v/>
      </c>
      <c r="S61" s="50" t="str">
        <f t="shared" si="15"/>
        <v/>
      </c>
      <c r="T61" s="50" t="str">
        <f t="shared" si="16"/>
        <v/>
      </c>
      <c r="Y61" s="54" t="str">
        <f t="shared" si="20"/>
        <v/>
      </c>
      <c r="Z61" s="50" t="str">
        <f t="shared" si="4"/>
        <v/>
      </c>
    </row>
    <row r="62" spans="1:26" x14ac:dyDescent="0.2">
      <c r="A62" s="17" t="str">
        <f t="shared" si="2"/>
        <v/>
      </c>
      <c r="B62" s="42" t="str">
        <f t="shared" si="19"/>
        <v/>
      </c>
      <c r="C62" s="17">
        <f t="shared" si="5"/>
        <v>0</v>
      </c>
      <c r="D62" s="17">
        <f t="shared" si="6"/>
        <v>0</v>
      </c>
      <c r="E62" s="17">
        <f t="shared" ca="1" si="7"/>
        <v>6</v>
      </c>
      <c r="F62" s="49">
        <f t="shared" ca="1" si="18"/>
        <v>47110</v>
      </c>
      <c r="G62" s="17">
        <v>30</v>
      </c>
      <c r="H62" s="17" t="str">
        <f t="shared" si="8"/>
        <v/>
      </c>
      <c r="I62" s="50" t="str">
        <f t="shared" si="9"/>
        <v/>
      </c>
      <c r="J62" s="51" t="str">
        <f t="shared" si="10"/>
        <v/>
      </c>
      <c r="K62" s="50" t="str">
        <f t="shared" si="11"/>
        <v/>
      </c>
      <c r="L62" s="52" t="str">
        <f>IF(LEN(H62)=0,IF(LEN(H61)&gt;0,SUM(L$32:L61)-L$32,""),IF(SYS!$AU$51="ануітет",IF(LEN(H63)=0,N62+M62,ROUND(PMT(SYS!$AG$52/12,D$8,$M$32),2))+P62,
IF(SYS!$AU$51="6 міс.% далі ануітет",IF(H62&lt;=6,N62,IF(LEN(H63)=0,N62+M62,ROUND(PMT(SYS!$AG$52/12,D$8-6,$M$32),2))+P62),
IF(SYS!$AU$51="3 міс.% далі ануітет",IF(H62&lt;=3,N62,IF(LEN(H63)=0,N62+M62,ROUND(PMT(SYS!$AG$52/12,D$8-3,$M$32),2))+P62),
IF(SYS!$AU$51="4 міс.% далі ануітет",IF(H62&lt;=4,N62,IF(LEN(H63)=0,N62+M62,ROUND(PMT(SYS!$AG$52/12,D$8-4,$M$32),2))+P62))))))</f>
        <v/>
      </c>
      <c r="M62" s="52" t="str">
        <f>IF(LEN(H62)=0,IF(LEN(H61)&gt;0,SUM(M$32:M61)-M$32,""),IF(LEN(H63)=0,SUM(M$32:M61)*-1,L62-N62-P62))</f>
        <v/>
      </c>
      <c r="N62" s="52" t="str">
        <f>IF(LEN(H62)=0,IF(LEN(H61)&gt;0,SUM(N$32:N61),""),ROUND((SUM(M$32:M61)*-1)*SYS!$AG$52/365*КАЛЬКУЛЯТОР!K62,2))</f>
        <v/>
      </c>
      <c r="O62" s="50" t="str">
        <f t="shared" si="12"/>
        <v/>
      </c>
      <c r="P62" s="52" t="str">
        <f>IF(LEN(H62)=0,IF(LEN(H61)&gt;0,SUM(P$32:P61),""),IF(SYS!$AV$51=SYS!$A$2,SUM(КАЛЬКУЛЯТОР!M$32:M61)*-1*$L$10,M$32*-1*L$10))</f>
        <v/>
      </c>
      <c r="Q62" s="53" t="str">
        <f t="shared" si="13"/>
        <v/>
      </c>
      <c r="R62" s="50" t="str">
        <f t="shared" si="14"/>
        <v/>
      </c>
      <c r="S62" s="50" t="str">
        <f t="shared" si="15"/>
        <v/>
      </c>
      <c r="T62" s="50" t="str">
        <f t="shared" si="16"/>
        <v/>
      </c>
      <c r="Y62" s="54" t="str">
        <f t="shared" si="20"/>
        <v/>
      </c>
      <c r="Z62" s="50" t="str">
        <f t="shared" si="4"/>
        <v/>
      </c>
    </row>
    <row r="63" spans="1:26" x14ac:dyDescent="0.2">
      <c r="A63" s="17" t="str">
        <f t="shared" si="2"/>
        <v/>
      </c>
      <c r="B63" s="42" t="str">
        <f t="shared" si="19"/>
        <v/>
      </c>
      <c r="C63" s="17">
        <f t="shared" si="5"/>
        <v>0</v>
      </c>
      <c r="D63" s="17">
        <f t="shared" si="6"/>
        <v>0</v>
      </c>
      <c r="E63" s="17">
        <f t="shared" ca="1" si="7"/>
        <v>2</v>
      </c>
      <c r="F63" s="49">
        <f t="shared" ca="1" si="18"/>
        <v>47141</v>
      </c>
      <c r="G63" s="17">
        <v>31</v>
      </c>
      <c r="H63" s="17" t="str">
        <f t="shared" si="8"/>
        <v/>
      </c>
      <c r="I63" s="50" t="str">
        <f t="shared" si="9"/>
        <v/>
      </c>
      <c r="J63" s="51" t="str">
        <f t="shared" si="10"/>
        <v/>
      </c>
      <c r="K63" s="50" t="str">
        <f t="shared" si="11"/>
        <v/>
      </c>
      <c r="L63" s="52" t="str">
        <f>IF(LEN(H63)=0,IF(LEN(H62)&gt;0,SUM(L$32:L62)-L$32,""),IF(SYS!$AU$51="ануітет",IF(LEN(H64)=0,N63+M63,ROUND(PMT(SYS!$AG$52/12,D$8,$M$32),2))+P63,
IF(SYS!$AU$51="6 міс.% далі ануітет",IF(H63&lt;=6,N63,IF(LEN(H64)=0,N63+M63,ROUND(PMT(SYS!$AG$52/12,D$8-6,$M$32),2))+P63),
IF(SYS!$AU$51="3 міс.% далі ануітет",IF(H63&lt;=3,N63,IF(LEN(H64)=0,N63+M63,ROUND(PMT(SYS!$AG$52/12,D$8-3,$M$32),2))+P63),
IF(SYS!$AU$51="4 міс.% далі ануітет",IF(H63&lt;=4,N63,IF(LEN(H64)=0,N63+M63,ROUND(PMT(SYS!$AG$52/12,D$8-4,$M$32),2))+P63))))))</f>
        <v/>
      </c>
      <c r="M63" s="52" t="str">
        <f>IF(LEN(H63)=0,IF(LEN(H62)&gt;0,SUM(M$32:M62)-M$32,""),IF(LEN(H64)=0,SUM(M$32:M62)*-1,L63-N63-P63))</f>
        <v/>
      </c>
      <c r="N63" s="52" t="str">
        <f>IF(LEN(H63)=0,IF(LEN(H62)&gt;0,SUM(N$32:N62),""),ROUND((SUM(M$32:M62)*-1)*SYS!$AG$52/365*КАЛЬКУЛЯТОР!K63,2))</f>
        <v/>
      </c>
      <c r="O63" s="50" t="str">
        <f t="shared" si="12"/>
        <v/>
      </c>
      <c r="P63" s="52" t="str">
        <f>IF(LEN(H63)=0,IF(LEN(H62)&gt;0,SUM(P$32:P62),""),IF(SYS!$AV$51=SYS!$A$2,SUM(КАЛЬКУЛЯТОР!M$32:M62)*-1*$L$10,M$32*-1*L$10))</f>
        <v/>
      </c>
      <c r="Q63" s="53" t="str">
        <f t="shared" si="13"/>
        <v/>
      </c>
      <c r="R63" s="50" t="str">
        <f t="shared" si="14"/>
        <v/>
      </c>
      <c r="S63" s="50" t="str">
        <f t="shared" si="15"/>
        <v/>
      </c>
      <c r="T63" s="50" t="str">
        <f t="shared" si="16"/>
        <v/>
      </c>
      <c r="Y63" s="54" t="str">
        <f t="shared" si="20"/>
        <v/>
      </c>
      <c r="Z63" s="50" t="str">
        <f t="shared" si="4"/>
        <v/>
      </c>
    </row>
    <row r="64" spans="1:26" x14ac:dyDescent="0.2">
      <c r="A64" s="17" t="str">
        <f t="shared" si="2"/>
        <v/>
      </c>
      <c r="B64" s="42" t="str">
        <f t="shared" si="19"/>
        <v/>
      </c>
      <c r="C64" s="17">
        <f t="shared" si="5"/>
        <v>0</v>
      </c>
      <c r="D64" s="17">
        <f t="shared" si="6"/>
        <v>0</v>
      </c>
      <c r="E64" s="17">
        <f t="shared" ca="1" si="7"/>
        <v>5</v>
      </c>
      <c r="F64" s="49">
        <f t="shared" ca="1" si="18"/>
        <v>47172</v>
      </c>
      <c r="G64" s="17">
        <v>32</v>
      </c>
      <c r="H64" s="17" t="str">
        <f t="shared" si="8"/>
        <v/>
      </c>
      <c r="I64" s="50" t="str">
        <f t="shared" si="9"/>
        <v/>
      </c>
      <c r="J64" s="51" t="str">
        <f t="shared" si="10"/>
        <v/>
      </c>
      <c r="K64" s="50" t="str">
        <f t="shared" si="11"/>
        <v/>
      </c>
      <c r="L64" s="52" t="str">
        <f>IF(LEN(H64)=0,IF(LEN(H63)&gt;0,SUM(L$32:L63)-L$32,""),IF(SYS!$AU$51="ануітет",IF(LEN(H65)=0,N64+M64,ROUND(PMT(SYS!$AG$52/12,D$8,$M$32),2))+P64,
IF(SYS!$AU$51="6 міс.% далі ануітет",IF(H64&lt;=6,N64,IF(LEN(H65)=0,N64+M64,ROUND(PMT(SYS!$AG$52/12,D$8-6,$M$32),2))+P64),
IF(SYS!$AU$51="3 міс.% далі ануітет",IF(H64&lt;=3,N64,IF(LEN(H65)=0,N64+M64,ROUND(PMT(SYS!$AG$52/12,D$8-3,$M$32),2))+P64),
IF(SYS!$AU$51="4 міс.% далі ануітет",IF(H64&lt;=4,N64,IF(LEN(H65)=0,N64+M64,ROUND(PMT(SYS!$AG$52/12,D$8-4,$M$32),2))+P64))))))</f>
        <v/>
      </c>
      <c r="M64" s="52" t="str">
        <f>IF(LEN(H64)=0,IF(LEN(H63)&gt;0,SUM(M$32:M63)-M$32,""),IF(LEN(H65)=0,SUM(M$32:M63)*-1,L64-N64-P64))</f>
        <v/>
      </c>
      <c r="N64" s="52" t="str">
        <f>IF(LEN(H64)=0,IF(LEN(H63)&gt;0,SUM(N$32:N63),""),ROUND((SUM(M$32:M63)*-1)*SYS!$AG$52/365*КАЛЬКУЛЯТОР!K64,2))</f>
        <v/>
      </c>
      <c r="O64" s="50" t="str">
        <f t="shared" si="12"/>
        <v/>
      </c>
      <c r="P64" s="52" t="str">
        <f>IF(LEN(H64)=0,IF(LEN(H63)&gt;0,SUM(P$32:P63),""),IF(SYS!$AV$51=SYS!$A$2,SUM(КАЛЬКУЛЯТОР!M$32:M63)*-1*$L$10,M$32*-1*L$10))</f>
        <v/>
      </c>
      <c r="Q64" s="53" t="str">
        <f t="shared" si="13"/>
        <v/>
      </c>
      <c r="R64" s="50" t="str">
        <f t="shared" si="14"/>
        <v/>
      </c>
      <c r="S64" s="50" t="str">
        <f t="shared" si="15"/>
        <v/>
      </c>
      <c r="T64" s="50" t="str">
        <f t="shared" si="16"/>
        <v/>
      </c>
      <c r="Y64" s="54" t="str">
        <f t="shared" si="20"/>
        <v/>
      </c>
      <c r="Z64" s="50" t="str">
        <f t="shared" si="4"/>
        <v/>
      </c>
    </row>
    <row r="65" spans="1:26" x14ac:dyDescent="0.2">
      <c r="A65" s="17" t="str">
        <f t="shared" si="2"/>
        <v/>
      </c>
      <c r="B65" s="42" t="str">
        <f t="shared" si="19"/>
        <v/>
      </c>
      <c r="C65" s="17">
        <f t="shared" si="5"/>
        <v>0</v>
      </c>
      <c r="D65" s="17">
        <f t="shared" si="6"/>
        <v>0</v>
      </c>
      <c r="E65" s="17">
        <f t="shared" ca="1" si="7"/>
        <v>5</v>
      </c>
      <c r="F65" s="49">
        <f t="shared" ca="1" si="18"/>
        <v>47200</v>
      </c>
      <c r="G65" s="17">
        <v>33</v>
      </c>
      <c r="H65" s="17" t="str">
        <f t="shared" si="8"/>
        <v/>
      </c>
      <c r="I65" s="50" t="str">
        <f t="shared" si="9"/>
        <v/>
      </c>
      <c r="J65" s="51" t="str">
        <f t="shared" si="10"/>
        <v/>
      </c>
      <c r="K65" s="50" t="str">
        <f t="shared" si="11"/>
        <v/>
      </c>
      <c r="L65" s="52" t="str">
        <f>IF(LEN(H65)=0,IF(LEN(H64)&gt;0,SUM(L$32:L64)-L$32,""),IF(SYS!$AU$51="ануітет",IF(LEN(H66)=0,N65+M65,ROUND(PMT(SYS!$AG$52/12,D$8,$M$32),2))+P65,
IF(SYS!$AU$51="6 міс.% далі ануітет",IF(H65&lt;=6,N65,IF(LEN(H66)=0,N65+M65,ROUND(PMT(SYS!$AG$52/12,D$8-6,$M$32),2))+P65),
IF(SYS!$AU$51="3 міс.% далі ануітет",IF(H65&lt;=3,N65,IF(LEN(H66)=0,N65+M65,ROUND(PMT(SYS!$AG$52/12,D$8-3,$M$32),2))+P65),
IF(SYS!$AU$51="4 міс.% далі ануітет",IF(H65&lt;=4,N65,IF(LEN(H66)=0,N65+M65,ROUND(PMT(SYS!$AG$52/12,D$8-4,$M$32),2))+P65))))))</f>
        <v/>
      </c>
      <c r="M65" s="52" t="str">
        <f>IF(LEN(H65)=0,IF(LEN(H64)&gt;0,SUM(M$32:M64)-M$32,""),IF(LEN(H66)=0,SUM(M$32:M64)*-1,L65-N65-P65))</f>
        <v/>
      </c>
      <c r="N65" s="52" t="str">
        <f>IF(LEN(H65)=0,IF(LEN(H64)&gt;0,SUM(N$32:N64),""),ROUND((SUM(M$32:M64)*-1)*SYS!$AG$52/365*КАЛЬКУЛЯТОР!K65,2))</f>
        <v/>
      </c>
      <c r="O65" s="50" t="str">
        <f t="shared" si="12"/>
        <v/>
      </c>
      <c r="P65" s="52" t="str">
        <f>IF(LEN(H65)=0,IF(LEN(H64)&gt;0,SUM(P$32:P64),""),IF(SYS!$AV$51=SYS!$A$2,SUM(КАЛЬКУЛЯТОР!M$32:M64)*-1*$L$10,M$32*-1*L$10))</f>
        <v/>
      </c>
      <c r="Q65" s="53" t="str">
        <f t="shared" si="13"/>
        <v/>
      </c>
      <c r="R65" s="50" t="str">
        <f t="shared" si="14"/>
        <v/>
      </c>
      <c r="S65" s="50" t="str">
        <f t="shared" si="15"/>
        <v/>
      </c>
      <c r="T65" s="50" t="str">
        <f t="shared" si="16"/>
        <v/>
      </c>
      <c r="Y65" s="54" t="str">
        <f t="shared" si="20"/>
        <v/>
      </c>
      <c r="Z65" s="50" t="str">
        <f t="shared" ref="Z65:Z96" si="21">IF(LEN(H65)=0,IF(LEN(H64)&gt;0,$L$23,""),"Х")</f>
        <v/>
      </c>
    </row>
    <row r="66" spans="1:26" x14ac:dyDescent="0.2">
      <c r="A66" s="17" t="str">
        <f t="shared" si="2"/>
        <v/>
      </c>
      <c r="B66" s="42" t="str">
        <f t="shared" si="19"/>
        <v/>
      </c>
      <c r="C66" s="17">
        <f t="shared" si="5"/>
        <v>0</v>
      </c>
      <c r="D66" s="17">
        <f t="shared" si="6"/>
        <v>0</v>
      </c>
      <c r="E66" s="17">
        <f t="shared" ca="1" si="7"/>
        <v>1</v>
      </c>
      <c r="F66" s="49">
        <f t="shared" ca="1" si="18"/>
        <v>47231</v>
      </c>
      <c r="G66" s="17">
        <v>34</v>
      </c>
      <c r="H66" s="17" t="str">
        <f t="shared" si="8"/>
        <v/>
      </c>
      <c r="I66" s="50" t="str">
        <f t="shared" si="9"/>
        <v/>
      </c>
      <c r="J66" s="51" t="str">
        <f t="shared" si="10"/>
        <v/>
      </c>
      <c r="K66" s="50" t="str">
        <f t="shared" si="11"/>
        <v/>
      </c>
      <c r="L66" s="52" t="str">
        <f>IF(LEN(H66)=0,IF(LEN(H65)&gt;0,SUM(L$32:L65)-L$32,""),IF(SYS!$AU$51="ануітет",IF(LEN(H67)=0,N66+M66,ROUND(PMT(SYS!$AG$52/12,D$8,$M$32),2))+P66,
IF(SYS!$AU$51="6 міс.% далі ануітет",IF(H66&lt;=6,N66,IF(LEN(H67)=0,N66+M66,ROUND(PMT(SYS!$AG$52/12,D$8-6,$M$32),2))+P66),
IF(SYS!$AU$51="3 міс.% далі ануітет",IF(H66&lt;=3,N66,IF(LEN(H67)=0,N66+M66,ROUND(PMT(SYS!$AG$52/12,D$8-3,$M$32),2))+P66),
IF(SYS!$AU$51="4 міс.% далі ануітет",IF(H66&lt;=4,N66,IF(LEN(H67)=0,N66+M66,ROUND(PMT(SYS!$AG$52/12,D$8-4,$M$32),2))+P66))))))</f>
        <v/>
      </c>
      <c r="M66" s="52" t="str">
        <f>IF(LEN(H66)=0,IF(LEN(H65)&gt;0,SUM(M$32:M65)-M$32,""),IF(LEN(H67)=0,SUM(M$32:M65)*-1,L66-N66-P66))</f>
        <v/>
      </c>
      <c r="N66" s="52" t="str">
        <f>IF(LEN(H66)=0,IF(LEN(H65)&gt;0,SUM(N$32:N65),""),ROUND((SUM(M$32:M65)*-1)*SYS!$AG$52/365*КАЛЬКУЛЯТОР!K66,2))</f>
        <v/>
      </c>
      <c r="O66" s="50" t="str">
        <f t="shared" si="12"/>
        <v/>
      </c>
      <c r="P66" s="52" t="str">
        <f>IF(LEN(H66)=0,IF(LEN(H65)&gt;0,SUM(P$32:P65),""),IF(SYS!$AV$51=SYS!$A$2,SUM(КАЛЬКУЛЯТОР!M$32:M65)*-1*$L$10,M$32*-1*L$10))</f>
        <v/>
      </c>
      <c r="Q66" s="53" t="str">
        <f t="shared" si="13"/>
        <v/>
      </c>
      <c r="R66" s="50" t="str">
        <f t="shared" si="14"/>
        <v/>
      </c>
      <c r="S66" s="50" t="str">
        <f t="shared" si="15"/>
        <v/>
      </c>
      <c r="T66" s="50" t="str">
        <f t="shared" si="16"/>
        <v/>
      </c>
      <c r="Y66" s="54" t="str">
        <f t="shared" si="20"/>
        <v/>
      </c>
      <c r="Z66" s="50" t="str">
        <f t="shared" si="21"/>
        <v/>
      </c>
    </row>
    <row r="67" spans="1:26" x14ac:dyDescent="0.2">
      <c r="A67" s="17" t="str">
        <f t="shared" si="2"/>
        <v/>
      </c>
      <c r="B67" s="42" t="str">
        <f t="shared" si="19"/>
        <v/>
      </c>
      <c r="C67" s="17">
        <f t="shared" si="5"/>
        <v>0</v>
      </c>
      <c r="D67" s="17">
        <f t="shared" si="6"/>
        <v>0</v>
      </c>
      <c r="E67" s="17">
        <f t="shared" ca="1" si="7"/>
        <v>3</v>
      </c>
      <c r="F67" s="49">
        <f t="shared" ca="1" si="18"/>
        <v>47261</v>
      </c>
      <c r="G67" s="17">
        <v>35</v>
      </c>
      <c r="H67" s="17" t="str">
        <f t="shared" si="8"/>
        <v/>
      </c>
      <c r="I67" s="50" t="str">
        <f t="shared" si="9"/>
        <v/>
      </c>
      <c r="J67" s="51" t="str">
        <f t="shared" si="10"/>
        <v/>
      </c>
      <c r="K67" s="50" t="str">
        <f t="shared" si="11"/>
        <v/>
      </c>
      <c r="L67" s="52" t="str">
        <f>IF(LEN(H67)=0,IF(LEN(H66)&gt;0,SUM(L$32:L66)-L$32,""),IF(SYS!$AU$51="ануітет",IF(LEN(H68)=0,N67+M67,ROUND(PMT(SYS!$AG$52/12,D$8,$M$32),2))+P67,
IF(SYS!$AU$51="6 міс.% далі ануітет",IF(H67&lt;=6,N67,IF(LEN(H68)=0,N67+M67,ROUND(PMT(SYS!$AG$52/12,D$8-6,$M$32),2))+P67),
IF(SYS!$AU$51="3 міс.% далі ануітет",IF(H67&lt;=3,N67,IF(LEN(H68)=0,N67+M67,ROUND(PMT(SYS!$AG$52/12,D$8-3,$M$32),2))+P67),
IF(SYS!$AU$51="4 міс.% далі ануітет",IF(H67&lt;=4,N67,IF(LEN(H68)=0,N67+M67,ROUND(PMT(SYS!$AG$52/12,D$8-4,$M$32),2))+P67))))))</f>
        <v/>
      </c>
      <c r="M67" s="52" t="str">
        <f>IF(LEN(H67)=0,IF(LEN(H66)&gt;0,SUM(M$32:M66)-M$32,""),IF(LEN(H68)=0,SUM(M$32:M66)*-1,L67-N67-P67))</f>
        <v/>
      </c>
      <c r="N67" s="52" t="str">
        <f>IF(LEN(H67)=0,IF(LEN(H66)&gt;0,SUM(N$32:N66),""),ROUND((SUM(M$32:M66)*-1)*SYS!$AG$52/365*КАЛЬКУЛЯТОР!K67,2))</f>
        <v/>
      </c>
      <c r="O67" s="50" t="str">
        <f t="shared" si="12"/>
        <v/>
      </c>
      <c r="P67" s="52" t="str">
        <f>IF(LEN(H67)=0,IF(LEN(H66)&gt;0,SUM(P$32:P66),""),IF(SYS!$AV$51=SYS!$A$2,SUM(КАЛЬКУЛЯТОР!M$32:M66)*-1*$L$10,M$32*-1*L$10))</f>
        <v/>
      </c>
      <c r="Q67" s="53" t="str">
        <f t="shared" si="13"/>
        <v/>
      </c>
      <c r="R67" s="50" t="str">
        <f t="shared" si="14"/>
        <v/>
      </c>
      <c r="S67" s="50" t="str">
        <f t="shared" si="15"/>
        <v/>
      </c>
      <c r="T67" s="50" t="str">
        <f t="shared" si="16"/>
        <v/>
      </c>
      <c r="Y67" s="54" t="str">
        <f t="shared" si="20"/>
        <v/>
      </c>
      <c r="Z67" s="50" t="str">
        <f t="shared" si="21"/>
        <v/>
      </c>
    </row>
    <row r="68" spans="1:26" x14ac:dyDescent="0.2">
      <c r="A68" s="17" t="str">
        <f t="shared" si="2"/>
        <v/>
      </c>
      <c r="B68" s="42" t="str">
        <f t="shared" si="19"/>
        <v/>
      </c>
      <c r="C68" s="17">
        <f t="shared" si="5"/>
        <v>0</v>
      </c>
      <c r="D68" s="17">
        <f t="shared" si="6"/>
        <v>0</v>
      </c>
      <c r="E68" s="17">
        <f t="shared" ca="1" si="7"/>
        <v>6</v>
      </c>
      <c r="F68" s="49">
        <f t="shared" ca="1" si="18"/>
        <v>47292</v>
      </c>
      <c r="G68" s="17">
        <v>36</v>
      </c>
      <c r="H68" s="17" t="str">
        <f t="shared" si="8"/>
        <v/>
      </c>
      <c r="I68" s="50" t="str">
        <f t="shared" si="9"/>
        <v/>
      </c>
      <c r="J68" s="51" t="str">
        <f t="shared" si="10"/>
        <v/>
      </c>
      <c r="K68" s="50" t="str">
        <f t="shared" si="11"/>
        <v/>
      </c>
      <c r="L68" s="52" t="str">
        <f>IF(LEN(H68)=0,IF(LEN(H67)&gt;0,SUM(L$32:L67)-L$32,""),IF(SYS!$AU$51="ануітет",IF(LEN(H69)=0,N68+M68,ROUND(PMT(SYS!$AG$52/12,D$8,$M$32),2))+P68,
IF(SYS!$AU$51="6 міс.% далі ануітет",IF(H68&lt;=6,N68,IF(LEN(H69)=0,N68+M68,ROUND(PMT(SYS!$AG$52/12,D$8-6,$M$32),2))+P68),
IF(SYS!$AU$51="3 міс.% далі ануітет",IF(H68&lt;=3,N68,IF(LEN(H69)=0,N68+M68,ROUND(PMT(SYS!$AG$52/12,D$8-3,$M$32),2))+P68),
IF(SYS!$AU$51="4 міс.% далі ануітет",IF(H68&lt;=4,N68,IF(LEN(H69)=0,N68+M68,ROUND(PMT(SYS!$AG$52/12,D$8-4,$M$32),2))+P68))))))</f>
        <v/>
      </c>
      <c r="M68" s="52" t="str">
        <f>IF(LEN(H68)=0,IF(LEN(H67)&gt;0,SUM(M$32:M67)-M$32,""),IF(LEN(H69)=0,SUM(M$32:M67)*-1,L68-N68-P68))</f>
        <v/>
      </c>
      <c r="N68" s="52" t="str">
        <f>IF(LEN(H68)=0,IF(LEN(H67)&gt;0,SUM(N$32:N67),""),ROUND((SUM(M$32:M67)*-1)*SYS!$AG$52/365*КАЛЬКУЛЯТОР!K68,2))</f>
        <v/>
      </c>
      <c r="O68" s="50" t="str">
        <f t="shared" si="12"/>
        <v/>
      </c>
      <c r="P68" s="52" t="str">
        <f>IF(LEN(H68)=0,IF(LEN(H67)&gt;0,SUM(P$32:P67),""),IF(SYS!$AV$51=SYS!$A$2,SUM(КАЛЬКУЛЯТОР!M$32:M67)*-1*$L$10,M$32*-1*L$10))</f>
        <v/>
      </c>
      <c r="Q68" s="53" t="str">
        <f t="shared" si="13"/>
        <v/>
      </c>
      <c r="R68" s="50" t="str">
        <f t="shared" si="14"/>
        <v/>
      </c>
      <c r="S68" s="50" t="str">
        <f t="shared" si="15"/>
        <v/>
      </c>
      <c r="T68" s="50" t="str">
        <f t="shared" si="16"/>
        <v/>
      </c>
      <c r="Y68" s="54" t="str">
        <f t="shared" si="20"/>
        <v/>
      </c>
      <c r="Z68" s="50" t="str">
        <f t="shared" si="21"/>
        <v/>
      </c>
    </row>
    <row r="69" spans="1:26" x14ac:dyDescent="0.2">
      <c r="A69" s="17" t="str">
        <f t="shared" si="2"/>
        <v/>
      </c>
      <c r="B69" s="42" t="str">
        <f t="shared" si="19"/>
        <v/>
      </c>
      <c r="C69" s="17">
        <f t="shared" si="5"/>
        <v>0</v>
      </c>
      <c r="D69" s="17">
        <f t="shared" si="6"/>
        <v>0</v>
      </c>
      <c r="E69" s="17">
        <f t="shared" ca="1" si="7"/>
        <v>1</v>
      </c>
      <c r="F69" s="49">
        <f t="shared" ca="1" si="18"/>
        <v>47322</v>
      </c>
      <c r="G69" s="17">
        <v>37</v>
      </c>
      <c r="H69" s="17" t="str">
        <f t="shared" si="8"/>
        <v/>
      </c>
      <c r="I69" s="50" t="str">
        <f t="shared" si="9"/>
        <v/>
      </c>
      <c r="J69" s="51" t="str">
        <f t="shared" si="10"/>
        <v/>
      </c>
      <c r="K69" s="50" t="str">
        <f t="shared" si="11"/>
        <v/>
      </c>
      <c r="L69" s="52" t="str">
        <f>IF(LEN(H69)=0,IF(LEN(H68)&gt;0,SUM(L$32:L68)-L$32,""),IF(SYS!$AU$51="ануітет",IF(LEN(H70)=0,N69+M69,ROUND(PMT(SYS!$AG$52/12,D$8,$M$32),2))+P69,
IF(SYS!$AU$51="6 міс.% далі ануітет",IF(H69&lt;=6,N69,IF(LEN(H70)=0,N69+M69,ROUND(PMT(SYS!$AG$52/12,D$8-6,$M$32),2))+P69),
IF(SYS!$AU$51="3 міс.% далі ануітет",IF(H69&lt;=3,N69,IF(LEN(H70)=0,N69+M69,ROUND(PMT(SYS!$AG$52/12,D$8-3,$M$32),2))+P69),
IF(SYS!$AU$51="4 міс.% далі ануітет",IF(H69&lt;=4,N69,IF(LEN(H70)=0,N69+M69,ROUND(PMT(SYS!$AG$52/12,D$8-4,$M$32),2))+P69))))))</f>
        <v/>
      </c>
      <c r="M69" s="52" t="str">
        <f>IF(LEN(H69)=0,IF(LEN(H68)&gt;0,SUM(M$32:M68)-M$32,""),IF(LEN(H70)=0,SUM(M$32:M68)*-1,L69-N69-P69))</f>
        <v/>
      </c>
      <c r="N69" s="52" t="str">
        <f>IF(LEN(H69)=0,IF(LEN(H68)&gt;0,SUM(N$32:N68),""),ROUND((SUM(M$32:M68)*-1)*SYS!$AG$52/365*КАЛЬКУЛЯТОР!K69,2))</f>
        <v/>
      </c>
      <c r="O69" s="50" t="str">
        <f t="shared" si="12"/>
        <v/>
      </c>
      <c r="P69" s="52" t="str">
        <f>IF(LEN(H69)=0,IF(LEN(H68)&gt;0,SUM(P$32:P68),""),IF(SYS!$AV$51=SYS!$A$2,SUM(КАЛЬКУЛЯТОР!M$32:M68)*-1*$L$10,M$32*-1*L$10))</f>
        <v/>
      </c>
      <c r="Q69" s="53" t="str">
        <f t="shared" si="13"/>
        <v/>
      </c>
      <c r="R69" s="50" t="str">
        <f t="shared" si="14"/>
        <v/>
      </c>
      <c r="S69" s="50" t="str">
        <f t="shared" si="15"/>
        <v/>
      </c>
      <c r="T69" s="50" t="str">
        <f t="shared" si="16"/>
        <v/>
      </c>
      <c r="Y69" s="54" t="str">
        <f t="shared" si="20"/>
        <v/>
      </c>
      <c r="Z69" s="50" t="str">
        <f t="shared" si="21"/>
        <v/>
      </c>
    </row>
    <row r="70" spans="1:26" x14ac:dyDescent="0.2">
      <c r="A70" s="17" t="str">
        <f t="shared" si="2"/>
        <v/>
      </c>
      <c r="B70" s="42" t="str">
        <f t="shared" si="19"/>
        <v/>
      </c>
      <c r="C70" s="17">
        <f t="shared" si="5"/>
        <v>0</v>
      </c>
      <c r="D70" s="17">
        <f t="shared" si="6"/>
        <v>0</v>
      </c>
      <c r="E70" s="17">
        <f t="shared" ca="1" si="7"/>
        <v>4</v>
      </c>
      <c r="F70" s="49">
        <f t="shared" ca="1" si="18"/>
        <v>47353</v>
      </c>
      <c r="G70" s="17">
        <v>38</v>
      </c>
      <c r="H70" s="17" t="str">
        <f t="shared" si="8"/>
        <v/>
      </c>
      <c r="I70" s="50" t="str">
        <f t="shared" si="9"/>
        <v/>
      </c>
      <c r="J70" s="51" t="str">
        <f t="shared" si="10"/>
        <v/>
      </c>
      <c r="K70" s="50" t="str">
        <f t="shared" si="11"/>
        <v/>
      </c>
      <c r="L70" s="52" t="str">
        <f>IF(LEN(H70)=0,IF(LEN(H69)&gt;0,SUM(L$32:L69)-L$32,""),IF(SYS!$AU$51="ануітет",IF(LEN(H71)=0,N70+M70,ROUND(PMT(SYS!$AG$52/12,D$8,$M$32),2))+P70,
IF(SYS!$AU$51="6 міс.% далі ануітет",IF(H70&lt;=6,N70,IF(LEN(H71)=0,N70+M70,ROUND(PMT(SYS!$AG$52/12,D$8-6,$M$32),2))+P70),
IF(SYS!$AU$51="3 міс.% далі ануітет",IF(H70&lt;=3,N70,IF(LEN(H71)=0,N70+M70,ROUND(PMT(SYS!$AG$52/12,D$8-3,$M$32),2))+P70),
IF(SYS!$AU$51="4 міс.% далі ануітет",IF(H70&lt;=4,N70,IF(LEN(H71)=0,N70+M70,ROUND(PMT(SYS!$AG$52/12,D$8-4,$M$32),2))+P70))))))</f>
        <v/>
      </c>
      <c r="M70" s="52" t="str">
        <f>IF(LEN(H70)=0,IF(LEN(H69)&gt;0,SUM(M$32:M69)-M$32,""),IF(LEN(H71)=0,SUM(M$32:M69)*-1,L70-N70-P70))</f>
        <v/>
      </c>
      <c r="N70" s="52" t="str">
        <f>IF(LEN(H70)=0,IF(LEN(H69)&gt;0,SUM(N$32:N69),""),ROUND((SUM(M$32:M69)*-1)*SYS!$AG$52/365*КАЛЬКУЛЯТОР!K70,2))</f>
        <v/>
      </c>
      <c r="O70" s="50" t="str">
        <f t="shared" si="12"/>
        <v/>
      </c>
      <c r="P70" s="52" t="str">
        <f>IF(LEN(H70)=0,IF(LEN(H69)&gt;0,SUM(P$32:P69),""),IF(SYS!$AV$51=SYS!$A$2,SUM(КАЛЬКУЛЯТОР!M$32:M69)*-1*$L$10,M$32*-1*L$10))</f>
        <v/>
      </c>
      <c r="Q70" s="53" t="str">
        <f t="shared" si="13"/>
        <v/>
      </c>
      <c r="R70" s="50" t="str">
        <f t="shared" si="14"/>
        <v/>
      </c>
      <c r="S70" s="50" t="str">
        <f t="shared" si="15"/>
        <v/>
      </c>
      <c r="T70" s="50" t="str">
        <f t="shared" si="16"/>
        <v/>
      </c>
      <c r="Y70" s="54" t="str">
        <f t="shared" si="20"/>
        <v/>
      </c>
      <c r="Z70" s="50" t="str">
        <f t="shared" si="21"/>
        <v/>
      </c>
    </row>
    <row r="71" spans="1:26" x14ac:dyDescent="0.2">
      <c r="A71" s="17" t="str">
        <f t="shared" si="2"/>
        <v/>
      </c>
      <c r="B71" s="42" t="str">
        <f t="shared" si="19"/>
        <v/>
      </c>
      <c r="C71" s="17">
        <f t="shared" si="5"/>
        <v>0</v>
      </c>
      <c r="D71" s="17">
        <f t="shared" si="6"/>
        <v>0</v>
      </c>
      <c r="E71" s="17">
        <f t="shared" ca="1" si="7"/>
        <v>7</v>
      </c>
      <c r="F71" s="49">
        <f t="shared" ca="1" si="18"/>
        <v>47384</v>
      </c>
      <c r="G71" s="17">
        <v>39</v>
      </c>
      <c r="H71" s="17" t="str">
        <f t="shared" si="8"/>
        <v/>
      </c>
      <c r="I71" s="50" t="str">
        <f t="shared" si="9"/>
        <v/>
      </c>
      <c r="J71" s="51" t="str">
        <f t="shared" si="10"/>
        <v/>
      </c>
      <c r="K71" s="50" t="str">
        <f t="shared" si="11"/>
        <v/>
      </c>
      <c r="L71" s="52" t="str">
        <f>IF(LEN(H71)=0,IF(LEN(H70)&gt;0,SUM(L$32:L70)-L$32,""),IF(SYS!$AU$51="ануітет",IF(LEN(H72)=0,N71+M71,ROUND(PMT(SYS!$AG$52/12,D$8,$M$32),2))+P71,
IF(SYS!$AU$51="6 міс.% далі ануітет",IF(H71&lt;=6,N71,IF(LEN(H72)=0,N71+M71,ROUND(PMT(SYS!$AG$52/12,D$8-6,$M$32),2))+P71),
IF(SYS!$AU$51="3 міс.% далі ануітет",IF(H71&lt;=3,N71,IF(LEN(H72)=0,N71+M71,ROUND(PMT(SYS!$AG$52/12,D$8-3,$M$32),2))+P71),
IF(SYS!$AU$51="4 міс.% далі ануітет",IF(H71&lt;=4,N71,IF(LEN(H72)=0,N71+M71,ROUND(PMT(SYS!$AG$52/12,D$8-4,$M$32),2))+P71))))))</f>
        <v/>
      </c>
      <c r="M71" s="52" t="str">
        <f>IF(LEN(H71)=0,IF(LEN(H70)&gt;0,SUM(M$32:M70)-M$32,""),IF(LEN(H72)=0,SUM(M$32:M70)*-1,L71-N71-P71))</f>
        <v/>
      </c>
      <c r="N71" s="52" t="str">
        <f>IF(LEN(H71)=0,IF(LEN(H70)&gt;0,SUM(N$32:N70),""),ROUND((SUM(M$32:M70)*-1)*SYS!$AG$52/365*КАЛЬКУЛЯТОР!K71,2))</f>
        <v/>
      </c>
      <c r="O71" s="50" t="str">
        <f t="shared" si="12"/>
        <v/>
      </c>
      <c r="P71" s="52" t="str">
        <f>IF(LEN(H71)=0,IF(LEN(H70)&gt;0,SUM(P$32:P70),""),IF(SYS!$AV$51=SYS!$A$2,SUM(КАЛЬКУЛЯТОР!M$32:M70)*-1*$L$10,M$32*-1*L$10))</f>
        <v/>
      </c>
      <c r="Q71" s="53" t="str">
        <f t="shared" si="13"/>
        <v/>
      </c>
      <c r="R71" s="50" t="str">
        <f t="shared" si="14"/>
        <v/>
      </c>
      <c r="S71" s="50" t="str">
        <f t="shared" si="15"/>
        <v/>
      </c>
      <c r="T71" s="50" t="str">
        <f t="shared" si="16"/>
        <v/>
      </c>
      <c r="Y71" s="54" t="str">
        <f t="shared" si="20"/>
        <v/>
      </c>
      <c r="Z71" s="50" t="str">
        <f t="shared" si="21"/>
        <v/>
      </c>
    </row>
    <row r="72" spans="1:26" x14ac:dyDescent="0.2">
      <c r="A72" s="17" t="str">
        <f t="shared" si="2"/>
        <v/>
      </c>
      <c r="B72" s="42" t="str">
        <f t="shared" si="19"/>
        <v/>
      </c>
      <c r="C72" s="17">
        <f t="shared" si="5"/>
        <v>0</v>
      </c>
      <c r="D72" s="17">
        <f t="shared" si="6"/>
        <v>0</v>
      </c>
      <c r="E72" s="17">
        <f t="shared" ca="1" si="7"/>
        <v>2</v>
      </c>
      <c r="F72" s="49">
        <f t="shared" ca="1" si="18"/>
        <v>47414</v>
      </c>
      <c r="G72" s="17">
        <v>40</v>
      </c>
      <c r="H72" s="17" t="str">
        <f t="shared" si="8"/>
        <v/>
      </c>
      <c r="I72" s="50" t="str">
        <f t="shared" si="9"/>
        <v/>
      </c>
      <c r="J72" s="51" t="str">
        <f t="shared" si="10"/>
        <v/>
      </c>
      <c r="K72" s="50" t="str">
        <f t="shared" si="11"/>
        <v/>
      </c>
      <c r="L72" s="52" t="str">
        <f>IF(LEN(H72)=0,IF(LEN(H71)&gt;0,SUM(L$32:L71)-L$32,""),IF(SYS!$AU$51="ануітет",IF(LEN(H73)=0,N72+M72,ROUND(PMT(SYS!$AG$52/12,D$8,$M$32),2))+P72,
IF(SYS!$AU$51="6 міс.% далі ануітет",IF(H72&lt;=6,N72,IF(LEN(H73)=0,N72+M72,ROUND(PMT(SYS!$AG$52/12,D$8-6,$M$32),2))+P72),
IF(SYS!$AU$51="3 міс.% далі ануітет",IF(H72&lt;=3,N72,IF(LEN(H73)=0,N72+M72,ROUND(PMT(SYS!$AG$52/12,D$8-3,$M$32),2))+P72),
IF(SYS!$AU$51="4 міс.% далі ануітет",IF(H72&lt;=4,N72,IF(LEN(H73)=0,N72+M72,ROUND(PMT(SYS!$AG$52/12,D$8-4,$M$32),2))+P72))))))</f>
        <v/>
      </c>
      <c r="M72" s="52" t="str">
        <f>IF(LEN(H72)=0,IF(LEN(H71)&gt;0,SUM(M$32:M71)-M$32,""),IF(LEN(H73)=0,SUM(M$32:M71)*-1,L72-N72-P72))</f>
        <v/>
      </c>
      <c r="N72" s="52" t="str">
        <f>IF(LEN(H72)=0,IF(LEN(H71)&gt;0,SUM(N$32:N71),""),ROUND((SUM(M$32:M71)*-1)*SYS!$AG$52/365*КАЛЬКУЛЯТОР!K72,2))</f>
        <v/>
      </c>
      <c r="O72" s="50" t="str">
        <f t="shared" si="12"/>
        <v/>
      </c>
      <c r="P72" s="52" t="str">
        <f>IF(LEN(H72)=0,IF(LEN(H71)&gt;0,SUM(P$32:P71),""),IF(SYS!$AV$51=SYS!$A$2,SUM(КАЛЬКУЛЯТОР!M$32:M71)*-1*$L$10,M$32*-1*L$10))</f>
        <v/>
      </c>
      <c r="Q72" s="53" t="str">
        <f t="shared" si="13"/>
        <v/>
      </c>
      <c r="R72" s="50" t="str">
        <f t="shared" si="14"/>
        <v/>
      </c>
      <c r="S72" s="50" t="str">
        <f t="shared" si="15"/>
        <v/>
      </c>
      <c r="T72" s="50" t="str">
        <f t="shared" si="16"/>
        <v/>
      </c>
      <c r="Y72" s="54" t="str">
        <f t="shared" si="20"/>
        <v/>
      </c>
      <c r="Z72" s="50" t="str">
        <f t="shared" si="21"/>
        <v/>
      </c>
    </row>
    <row r="73" spans="1:26" x14ac:dyDescent="0.2">
      <c r="A73" s="17" t="str">
        <f t="shared" si="2"/>
        <v/>
      </c>
      <c r="B73" s="42" t="str">
        <f t="shared" si="19"/>
        <v/>
      </c>
      <c r="C73" s="17">
        <f t="shared" si="5"/>
        <v>0</v>
      </c>
      <c r="D73" s="17">
        <f t="shared" si="6"/>
        <v>0</v>
      </c>
      <c r="E73" s="17">
        <f t="shared" ca="1" si="7"/>
        <v>5</v>
      </c>
      <c r="F73" s="49">
        <f t="shared" ca="1" si="18"/>
        <v>47445</v>
      </c>
      <c r="G73" s="17">
        <v>41</v>
      </c>
      <c r="H73" s="17" t="str">
        <f t="shared" si="8"/>
        <v/>
      </c>
      <c r="I73" s="50" t="str">
        <f t="shared" si="9"/>
        <v/>
      </c>
      <c r="J73" s="51" t="str">
        <f t="shared" si="10"/>
        <v/>
      </c>
      <c r="K73" s="50" t="str">
        <f t="shared" si="11"/>
        <v/>
      </c>
      <c r="L73" s="52" t="str">
        <f>IF(LEN(H73)=0,IF(LEN(H72)&gt;0,SUM(L$32:L72)-L$32,""),IF(SYS!$AU$51="ануітет",IF(LEN(H74)=0,N73+M73,ROUND(PMT(SYS!$AG$52/12,D$8,$M$32),2))+P73,
IF(SYS!$AU$51="6 міс.% далі ануітет",IF(H73&lt;=6,N73,IF(LEN(H74)=0,N73+M73,ROUND(PMT(SYS!$AG$52/12,D$8-6,$M$32),2))+P73),
IF(SYS!$AU$51="3 міс.% далі ануітет",IF(H73&lt;=3,N73,IF(LEN(H74)=0,N73+M73,ROUND(PMT(SYS!$AG$52/12,D$8-3,$M$32),2))+P73),
IF(SYS!$AU$51="4 міс.% далі ануітет",IF(H73&lt;=4,N73,IF(LEN(H74)=0,N73+M73,ROUND(PMT(SYS!$AG$52/12,D$8-4,$M$32),2))+P73))))))</f>
        <v/>
      </c>
      <c r="M73" s="52" t="str">
        <f>IF(LEN(H73)=0,IF(LEN(H72)&gt;0,SUM(M$32:M72)-M$32,""),IF(LEN(H74)=0,SUM(M$32:M72)*-1,L73-N73-P73))</f>
        <v/>
      </c>
      <c r="N73" s="52" t="str">
        <f>IF(LEN(H73)=0,IF(LEN(H72)&gt;0,SUM(N$32:N72),""),ROUND((SUM(M$32:M72)*-1)*SYS!$AG$52/365*КАЛЬКУЛЯТОР!K73,2))</f>
        <v/>
      </c>
      <c r="O73" s="50" t="str">
        <f t="shared" si="12"/>
        <v/>
      </c>
      <c r="P73" s="52" t="str">
        <f>IF(LEN(H73)=0,IF(LEN(H72)&gt;0,SUM(P$32:P72),""),IF(SYS!$AV$51=SYS!$A$2,SUM(КАЛЬКУЛЯТОР!M$32:M72)*-1*$L$10,M$32*-1*L$10))</f>
        <v/>
      </c>
      <c r="Q73" s="53" t="str">
        <f t="shared" si="13"/>
        <v/>
      </c>
      <c r="R73" s="50" t="str">
        <f t="shared" si="14"/>
        <v/>
      </c>
      <c r="S73" s="50" t="str">
        <f t="shared" si="15"/>
        <v/>
      </c>
      <c r="T73" s="50" t="str">
        <f t="shared" si="16"/>
        <v/>
      </c>
      <c r="Y73" s="54" t="str">
        <f t="shared" si="20"/>
        <v/>
      </c>
      <c r="Z73" s="50" t="str">
        <f t="shared" si="21"/>
        <v/>
      </c>
    </row>
    <row r="74" spans="1:26" x14ac:dyDescent="0.2">
      <c r="A74" s="17" t="str">
        <f t="shared" si="2"/>
        <v/>
      </c>
      <c r="B74" s="42" t="str">
        <f t="shared" si="19"/>
        <v/>
      </c>
      <c r="C74" s="17">
        <f t="shared" si="5"/>
        <v>0</v>
      </c>
      <c r="D74" s="17">
        <f t="shared" si="6"/>
        <v>0</v>
      </c>
      <c r="E74" s="17">
        <f t="shared" ca="1" si="7"/>
        <v>7</v>
      </c>
      <c r="F74" s="49">
        <f t="shared" ca="1" si="18"/>
        <v>47475</v>
      </c>
      <c r="G74" s="17">
        <v>42</v>
      </c>
      <c r="H74" s="17" t="str">
        <f t="shared" si="8"/>
        <v/>
      </c>
      <c r="I74" s="50" t="str">
        <f t="shared" si="9"/>
        <v/>
      </c>
      <c r="J74" s="51" t="str">
        <f t="shared" si="10"/>
        <v/>
      </c>
      <c r="K74" s="50" t="str">
        <f t="shared" si="11"/>
        <v/>
      </c>
      <c r="L74" s="52" t="str">
        <f>IF(LEN(H74)=0,IF(LEN(H73)&gt;0,SUM(L$32:L73)-L$32,""),IF(SYS!$AU$51="ануітет",IF(LEN(H75)=0,N74+M74,ROUND(PMT(SYS!$AG$52/12,D$8,$M$32),2))+P74,
IF(SYS!$AU$51="6 міс.% далі ануітет",IF(H74&lt;=6,N74,IF(LEN(H75)=0,N74+M74,ROUND(PMT(SYS!$AG$52/12,D$8-6,$M$32),2))+P74),
IF(SYS!$AU$51="3 міс.% далі ануітет",IF(H74&lt;=3,N74,IF(LEN(H75)=0,N74+M74,ROUND(PMT(SYS!$AG$52/12,D$8-3,$M$32),2))+P74),
IF(SYS!$AU$51="4 міс.% далі ануітет",IF(H74&lt;=4,N74,IF(LEN(H75)=0,N74+M74,ROUND(PMT(SYS!$AG$52/12,D$8-4,$M$32),2))+P74))))))</f>
        <v/>
      </c>
      <c r="M74" s="52" t="str">
        <f>IF(LEN(H74)=0,IF(LEN(H73)&gt;0,SUM(M$32:M73)-M$32,""),IF(LEN(H75)=0,SUM(M$32:M73)*-1,L74-N74-P74))</f>
        <v/>
      </c>
      <c r="N74" s="52" t="str">
        <f>IF(LEN(H74)=0,IF(LEN(H73)&gt;0,SUM(N$32:N73),""),ROUND((SUM(M$32:M73)*-1)*SYS!$AG$52/365*КАЛЬКУЛЯТОР!K74,2))</f>
        <v/>
      </c>
      <c r="O74" s="50" t="str">
        <f t="shared" si="12"/>
        <v/>
      </c>
      <c r="P74" s="52" t="str">
        <f>IF(LEN(H74)=0,IF(LEN(H73)&gt;0,SUM(P$32:P73),""),IF(SYS!$AV$51=SYS!$A$2,SUM(КАЛЬКУЛЯТОР!M$32:M73)*-1*$L$10,M$32*-1*L$10))</f>
        <v/>
      </c>
      <c r="Q74" s="53" t="str">
        <f t="shared" si="13"/>
        <v/>
      </c>
      <c r="R74" s="50" t="str">
        <f t="shared" si="14"/>
        <v/>
      </c>
      <c r="S74" s="50" t="str">
        <f t="shared" si="15"/>
        <v/>
      </c>
      <c r="T74" s="50" t="str">
        <f t="shared" si="16"/>
        <v/>
      </c>
      <c r="Y74" s="54" t="str">
        <f t="shared" si="20"/>
        <v/>
      </c>
      <c r="Z74" s="50" t="str">
        <f t="shared" si="21"/>
        <v/>
      </c>
    </row>
    <row r="75" spans="1:26" x14ac:dyDescent="0.2">
      <c r="A75" s="17" t="str">
        <f t="shared" si="2"/>
        <v/>
      </c>
      <c r="B75" s="42" t="str">
        <f t="shared" si="19"/>
        <v/>
      </c>
      <c r="C75" s="17">
        <f t="shared" si="5"/>
        <v>0</v>
      </c>
      <c r="D75" s="17">
        <f t="shared" si="6"/>
        <v>0</v>
      </c>
      <c r="E75" s="17">
        <f t="shared" ca="1" si="7"/>
        <v>3</v>
      </c>
      <c r="F75" s="49">
        <f t="shared" ca="1" si="18"/>
        <v>47506</v>
      </c>
      <c r="G75" s="17">
        <v>43</v>
      </c>
      <c r="H75" s="17" t="str">
        <f t="shared" si="8"/>
        <v/>
      </c>
      <c r="I75" s="50" t="str">
        <f t="shared" si="9"/>
        <v/>
      </c>
      <c r="J75" s="51" t="str">
        <f t="shared" si="10"/>
        <v/>
      </c>
      <c r="K75" s="50" t="str">
        <f t="shared" si="11"/>
        <v/>
      </c>
      <c r="L75" s="52" t="str">
        <f>IF(LEN(H75)=0,IF(LEN(H74)&gt;0,SUM(L$32:L74)-L$32,""),IF(SYS!$AU$51="ануітет",IF(LEN(H76)=0,N75+M75,ROUND(PMT(SYS!$AG$52/12,D$8,$M$32),2))+P75,
IF(SYS!$AU$51="6 міс.% далі ануітет",IF(H75&lt;=6,N75,IF(LEN(H76)=0,N75+M75,ROUND(PMT(SYS!$AG$52/12,D$8-6,$M$32),2))+P75),
IF(SYS!$AU$51="3 міс.% далі ануітет",IF(H75&lt;=3,N75,IF(LEN(H76)=0,N75+M75,ROUND(PMT(SYS!$AG$52/12,D$8-3,$M$32),2))+P75),
IF(SYS!$AU$51="4 міс.% далі ануітет",IF(H75&lt;=4,N75,IF(LEN(H76)=0,N75+M75,ROUND(PMT(SYS!$AG$52/12,D$8-4,$M$32),2))+P75))))))</f>
        <v/>
      </c>
      <c r="M75" s="52" t="str">
        <f>IF(LEN(H75)=0,IF(LEN(H74)&gt;0,SUM(M$32:M74)-M$32,""),IF(LEN(H76)=0,SUM(M$32:M74)*-1,L75-N75-P75))</f>
        <v/>
      </c>
      <c r="N75" s="52" t="str">
        <f>IF(LEN(H75)=0,IF(LEN(H74)&gt;0,SUM(N$32:N74),""),ROUND((SUM(M$32:M74)*-1)*SYS!$AG$52/365*КАЛЬКУЛЯТОР!K75,2))</f>
        <v/>
      </c>
      <c r="O75" s="50" t="str">
        <f t="shared" si="12"/>
        <v/>
      </c>
      <c r="P75" s="52" t="str">
        <f>IF(LEN(H75)=0,IF(LEN(H74)&gt;0,SUM(P$32:P74),""),IF(SYS!$AV$51=SYS!$A$2,SUM(КАЛЬКУЛЯТОР!M$32:M74)*-1*$L$10,M$32*-1*L$10))</f>
        <v/>
      </c>
      <c r="Q75" s="53" t="str">
        <f t="shared" si="13"/>
        <v/>
      </c>
      <c r="R75" s="50" t="str">
        <f t="shared" si="14"/>
        <v/>
      </c>
      <c r="S75" s="50" t="str">
        <f t="shared" si="15"/>
        <v/>
      </c>
      <c r="T75" s="50" t="str">
        <f t="shared" si="16"/>
        <v/>
      </c>
      <c r="Y75" s="54" t="str">
        <f t="shared" si="20"/>
        <v/>
      </c>
      <c r="Z75" s="50" t="str">
        <f t="shared" si="21"/>
        <v/>
      </c>
    </row>
    <row r="76" spans="1:26" x14ac:dyDescent="0.2">
      <c r="A76" s="17" t="str">
        <f t="shared" si="2"/>
        <v/>
      </c>
      <c r="B76" s="42" t="str">
        <f t="shared" si="19"/>
        <v/>
      </c>
      <c r="C76" s="17">
        <f t="shared" si="5"/>
        <v>0</v>
      </c>
      <c r="D76" s="17">
        <f t="shared" si="6"/>
        <v>0</v>
      </c>
      <c r="E76" s="17">
        <f t="shared" ca="1" si="7"/>
        <v>6</v>
      </c>
      <c r="F76" s="49">
        <f t="shared" ca="1" si="18"/>
        <v>47537</v>
      </c>
      <c r="G76" s="17">
        <v>44</v>
      </c>
      <c r="H76" s="17" t="str">
        <f t="shared" si="8"/>
        <v/>
      </c>
      <c r="I76" s="50" t="str">
        <f t="shared" si="9"/>
        <v/>
      </c>
      <c r="J76" s="51" t="str">
        <f t="shared" si="10"/>
        <v/>
      </c>
      <c r="K76" s="50" t="str">
        <f t="shared" si="11"/>
        <v/>
      </c>
      <c r="L76" s="52" t="str">
        <f>IF(LEN(H76)=0,IF(LEN(H75)&gt;0,SUM(L$32:L75)-L$32,""),IF(SYS!$AU$51="ануітет",IF(LEN(H77)=0,N76+M76,ROUND(PMT(SYS!$AG$52/12,D$8,$M$32),2))+P76,
IF(SYS!$AU$51="6 міс.% далі ануітет",IF(H76&lt;=6,N76,IF(LEN(H77)=0,N76+M76,ROUND(PMT(SYS!$AG$52/12,D$8-6,$M$32),2))+P76),
IF(SYS!$AU$51="3 міс.% далі ануітет",IF(H76&lt;=3,N76,IF(LEN(H77)=0,N76+M76,ROUND(PMT(SYS!$AG$52/12,D$8-3,$M$32),2))+P76),
IF(SYS!$AU$51="4 міс.% далі ануітет",IF(H76&lt;=4,N76,IF(LEN(H77)=0,N76+M76,ROUND(PMT(SYS!$AG$52/12,D$8-4,$M$32),2))+P76))))))</f>
        <v/>
      </c>
      <c r="M76" s="52" t="str">
        <f>IF(LEN(H76)=0,IF(LEN(H75)&gt;0,SUM(M$32:M75)-M$32,""),IF(LEN(H77)=0,SUM(M$32:M75)*-1,L76-N76-P76))</f>
        <v/>
      </c>
      <c r="N76" s="52" t="str">
        <f>IF(LEN(H76)=0,IF(LEN(H75)&gt;0,SUM(N$32:N75),""),ROUND((SUM(M$32:M75)*-1)*SYS!$AG$52/365*КАЛЬКУЛЯТОР!K76,2))</f>
        <v/>
      </c>
      <c r="O76" s="50" t="str">
        <f t="shared" si="12"/>
        <v/>
      </c>
      <c r="P76" s="52" t="str">
        <f>IF(LEN(H76)=0,IF(LEN(H75)&gt;0,SUM(P$32:P75),""),IF(SYS!$AV$51=SYS!$A$2,SUM(КАЛЬКУЛЯТОР!M$32:M75)*-1*$L$10,M$32*-1*L$10))</f>
        <v/>
      </c>
      <c r="Q76" s="53" t="str">
        <f t="shared" si="13"/>
        <v/>
      </c>
      <c r="R76" s="50" t="str">
        <f t="shared" si="14"/>
        <v/>
      </c>
      <c r="S76" s="50" t="str">
        <f t="shared" si="15"/>
        <v/>
      </c>
      <c r="T76" s="50" t="str">
        <f t="shared" si="16"/>
        <v/>
      </c>
      <c r="Y76" s="54" t="str">
        <f t="shared" si="20"/>
        <v/>
      </c>
      <c r="Z76" s="50" t="str">
        <f t="shared" si="21"/>
        <v/>
      </c>
    </row>
    <row r="77" spans="1:26" x14ac:dyDescent="0.2">
      <c r="A77" s="17" t="str">
        <f t="shared" si="2"/>
        <v/>
      </c>
      <c r="B77" s="42" t="str">
        <f t="shared" si="19"/>
        <v/>
      </c>
      <c r="C77" s="17">
        <f t="shared" si="5"/>
        <v>0</v>
      </c>
      <c r="D77" s="17">
        <f t="shared" si="6"/>
        <v>0</v>
      </c>
      <c r="E77" s="17">
        <f t="shared" ca="1" si="7"/>
        <v>6</v>
      </c>
      <c r="F77" s="49">
        <f t="shared" ca="1" si="18"/>
        <v>47565</v>
      </c>
      <c r="G77" s="17">
        <v>45</v>
      </c>
      <c r="H77" s="17" t="str">
        <f t="shared" si="8"/>
        <v/>
      </c>
      <c r="I77" s="50" t="str">
        <f t="shared" si="9"/>
        <v/>
      </c>
      <c r="J77" s="51" t="str">
        <f t="shared" si="10"/>
        <v/>
      </c>
      <c r="K77" s="50" t="str">
        <f t="shared" si="11"/>
        <v/>
      </c>
      <c r="L77" s="52" t="str">
        <f>IF(LEN(H77)=0,IF(LEN(H76)&gt;0,SUM(L$32:L76)-L$32,""),IF(SYS!$AU$51="ануітет",IF(LEN(H78)=0,N77+M77,ROUND(PMT(SYS!$AG$52/12,D$8,$M$32),2))+P77,
IF(SYS!$AU$51="6 міс.% далі ануітет",IF(H77&lt;=6,N77,IF(LEN(H78)=0,N77+M77,ROUND(PMT(SYS!$AG$52/12,D$8-6,$M$32),2))+P77),
IF(SYS!$AU$51="3 міс.% далі ануітет",IF(H77&lt;=3,N77,IF(LEN(H78)=0,N77+M77,ROUND(PMT(SYS!$AG$52/12,D$8-3,$M$32),2))+P77),
IF(SYS!$AU$51="4 міс.% далі ануітет",IF(H77&lt;=4,N77,IF(LEN(H78)=0,N77+M77,ROUND(PMT(SYS!$AG$52/12,D$8-4,$M$32),2))+P77))))))</f>
        <v/>
      </c>
      <c r="M77" s="52" t="str">
        <f>IF(LEN(H77)=0,IF(LEN(H76)&gt;0,SUM(M$32:M76)-M$32,""),IF(LEN(H78)=0,SUM(M$32:M76)*-1,L77-N77-P77))</f>
        <v/>
      </c>
      <c r="N77" s="52" t="str">
        <f>IF(LEN(H77)=0,IF(LEN(H76)&gt;0,SUM(N$32:N76),""),ROUND((SUM(M$32:M76)*-1)*SYS!$AG$52/365*КАЛЬКУЛЯТОР!K77,2))</f>
        <v/>
      </c>
      <c r="O77" s="50" t="str">
        <f t="shared" si="12"/>
        <v/>
      </c>
      <c r="P77" s="52" t="str">
        <f>IF(LEN(H77)=0,IF(LEN(H76)&gt;0,SUM(P$32:P76),""),IF(SYS!$AV$51=SYS!$A$2,SUM(КАЛЬКУЛЯТОР!M$32:M76)*-1*$L$10,M$32*-1*L$10))</f>
        <v/>
      </c>
      <c r="Q77" s="53" t="str">
        <f t="shared" si="13"/>
        <v/>
      </c>
      <c r="R77" s="50" t="str">
        <f t="shared" si="14"/>
        <v/>
      </c>
      <c r="S77" s="50" t="str">
        <f t="shared" si="15"/>
        <v/>
      </c>
      <c r="T77" s="50" t="str">
        <f t="shared" si="16"/>
        <v/>
      </c>
      <c r="Y77" s="54" t="str">
        <f t="shared" si="20"/>
        <v/>
      </c>
      <c r="Z77" s="50" t="str">
        <f t="shared" si="21"/>
        <v/>
      </c>
    </row>
    <row r="78" spans="1:26" x14ac:dyDescent="0.2">
      <c r="A78" s="17" t="str">
        <f t="shared" si="2"/>
        <v/>
      </c>
      <c r="B78" s="42" t="str">
        <f t="shared" si="19"/>
        <v/>
      </c>
      <c r="C78" s="17">
        <f t="shared" si="5"/>
        <v>0</v>
      </c>
      <c r="D78" s="17">
        <f t="shared" si="6"/>
        <v>0</v>
      </c>
      <c r="E78" s="17">
        <f t="shared" ca="1" si="7"/>
        <v>2</v>
      </c>
      <c r="F78" s="49">
        <f t="shared" ca="1" si="18"/>
        <v>47596</v>
      </c>
      <c r="G78" s="17">
        <v>46</v>
      </c>
      <c r="H78" s="17" t="str">
        <f t="shared" si="8"/>
        <v/>
      </c>
      <c r="I78" s="50" t="str">
        <f t="shared" si="9"/>
        <v/>
      </c>
      <c r="J78" s="51" t="str">
        <f t="shared" si="10"/>
        <v/>
      </c>
      <c r="K78" s="50" t="str">
        <f t="shared" si="11"/>
        <v/>
      </c>
      <c r="L78" s="52" t="str">
        <f>IF(LEN(H78)=0,IF(LEN(H77)&gt;0,SUM(L$32:L77)-L$32,""),IF(SYS!$AU$51="ануітет",IF(LEN(H79)=0,N78+M78,ROUND(PMT(SYS!$AG$52/12,D$8,$M$32),2))+P78,
IF(SYS!$AU$51="6 міс.% далі ануітет",IF(H78&lt;=6,N78,IF(LEN(H79)=0,N78+M78,ROUND(PMT(SYS!$AG$52/12,D$8-6,$M$32),2))+P78),
IF(SYS!$AU$51="3 міс.% далі ануітет",IF(H78&lt;=3,N78,IF(LEN(H79)=0,N78+M78,ROUND(PMT(SYS!$AG$52/12,D$8-3,$M$32),2))+P78),
IF(SYS!$AU$51="4 міс.% далі ануітет",IF(H78&lt;=4,N78,IF(LEN(H79)=0,N78+M78,ROUND(PMT(SYS!$AG$52/12,D$8-4,$M$32),2))+P78))))))</f>
        <v/>
      </c>
      <c r="M78" s="52" t="str">
        <f>IF(LEN(H78)=0,IF(LEN(H77)&gt;0,SUM(M$32:M77)-M$32,""),IF(LEN(H79)=0,SUM(M$32:M77)*-1,L78-N78-P78))</f>
        <v/>
      </c>
      <c r="N78" s="52" t="str">
        <f>IF(LEN(H78)=0,IF(LEN(H77)&gt;0,SUM(N$32:N77),""),ROUND((SUM(M$32:M77)*-1)*SYS!$AG$52/365*КАЛЬКУЛЯТОР!K78,2))</f>
        <v/>
      </c>
      <c r="O78" s="50" t="str">
        <f t="shared" si="12"/>
        <v/>
      </c>
      <c r="P78" s="52" t="str">
        <f>IF(LEN(H78)=0,IF(LEN(H77)&gt;0,SUM(P$32:P77),""),IF(SYS!$AV$51=SYS!$A$2,SUM(КАЛЬКУЛЯТОР!M$32:M77)*-1*$L$10,M$32*-1*L$10))</f>
        <v/>
      </c>
      <c r="Q78" s="53" t="str">
        <f t="shared" si="13"/>
        <v/>
      </c>
      <c r="R78" s="50" t="str">
        <f t="shared" si="14"/>
        <v/>
      </c>
      <c r="S78" s="50" t="str">
        <f t="shared" si="15"/>
        <v/>
      </c>
      <c r="T78" s="50" t="str">
        <f t="shared" si="16"/>
        <v/>
      </c>
      <c r="Y78" s="54" t="str">
        <f t="shared" si="20"/>
        <v/>
      </c>
      <c r="Z78" s="50" t="str">
        <f t="shared" si="21"/>
        <v/>
      </c>
    </row>
    <row r="79" spans="1:26" x14ac:dyDescent="0.2">
      <c r="A79" s="17" t="str">
        <f t="shared" si="2"/>
        <v/>
      </c>
      <c r="B79" s="42" t="str">
        <f t="shared" si="19"/>
        <v/>
      </c>
      <c r="C79" s="17">
        <f t="shared" si="5"/>
        <v>0</v>
      </c>
      <c r="D79" s="17">
        <f t="shared" si="6"/>
        <v>0</v>
      </c>
      <c r="E79" s="17">
        <f t="shared" ca="1" si="7"/>
        <v>4</v>
      </c>
      <c r="F79" s="49">
        <f t="shared" ca="1" si="18"/>
        <v>47626</v>
      </c>
      <c r="G79" s="17">
        <v>47</v>
      </c>
      <c r="H79" s="17" t="str">
        <f t="shared" si="8"/>
        <v/>
      </c>
      <c r="I79" s="50" t="str">
        <f t="shared" si="9"/>
        <v/>
      </c>
      <c r="J79" s="51" t="str">
        <f t="shared" si="10"/>
        <v/>
      </c>
      <c r="K79" s="50" t="str">
        <f t="shared" si="11"/>
        <v/>
      </c>
      <c r="L79" s="52" t="str">
        <f>IF(LEN(H79)=0,IF(LEN(H78)&gt;0,SUM(L$32:L78)-L$32,""),IF(SYS!$AU$51="ануітет",IF(LEN(H80)=0,N79+M79,ROUND(PMT(SYS!$AG$52/12,D$8,$M$32),2))+P79,
IF(SYS!$AU$51="6 міс.% далі ануітет",IF(H79&lt;=6,N79,IF(LEN(H80)=0,N79+M79,ROUND(PMT(SYS!$AG$52/12,D$8-6,$M$32),2))+P79),
IF(SYS!$AU$51="3 міс.% далі ануітет",IF(H79&lt;=3,N79,IF(LEN(H80)=0,N79+M79,ROUND(PMT(SYS!$AG$52/12,D$8-3,$M$32),2))+P79),
IF(SYS!$AU$51="4 міс.% далі ануітет",IF(H79&lt;=4,N79,IF(LEN(H80)=0,N79+M79,ROUND(PMT(SYS!$AG$52/12,D$8-4,$M$32),2))+P79))))))</f>
        <v/>
      </c>
      <c r="M79" s="52" t="str">
        <f>IF(LEN(H79)=0,IF(LEN(H78)&gt;0,SUM(M$32:M78)-M$32,""),IF(LEN(H80)=0,SUM(M$32:M78)*-1,L79-N79-P79))</f>
        <v/>
      </c>
      <c r="N79" s="52" t="str">
        <f>IF(LEN(H79)=0,IF(LEN(H78)&gt;0,SUM(N$32:N78),""),ROUND((SUM(M$32:M78)*-1)*SYS!$AG$52/365*КАЛЬКУЛЯТОР!K79,2))</f>
        <v/>
      </c>
      <c r="O79" s="50" t="str">
        <f t="shared" si="12"/>
        <v/>
      </c>
      <c r="P79" s="52" t="str">
        <f>IF(LEN(H79)=0,IF(LEN(H78)&gt;0,SUM(P$32:P78),""),IF(SYS!$AV$51=SYS!$A$2,SUM(КАЛЬКУЛЯТОР!M$32:M78)*-1*$L$10,M$32*-1*L$10))</f>
        <v/>
      </c>
      <c r="Q79" s="53" t="str">
        <f t="shared" si="13"/>
        <v/>
      </c>
      <c r="R79" s="50" t="str">
        <f t="shared" si="14"/>
        <v/>
      </c>
      <c r="S79" s="50" t="str">
        <f t="shared" si="15"/>
        <v/>
      </c>
      <c r="T79" s="50" t="str">
        <f t="shared" si="16"/>
        <v/>
      </c>
      <c r="Y79" s="54" t="str">
        <f t="shared" si="20"/>
        <v/>
      </c>
      <c r="Z79" s="50" t="str">
        <f t="shared" si="21"/>
        <v/>
      </c>
    </row>
    <row r="80" spans="1:26" x14ac:dyDescent="0.2">
      <c r="A80" s="17" t="str">
        <f t="shared" si="2"/>
        <v/>
      </c>
      <c r="B80" s="42" t="str">
        <f t="shared" si="19"/>
        <v/>
      </c>
      <c r="C80" s="17">
        <f t="shared" si="5"/>
        <v>0</v>
      </c>
      <c r="D80" s="17">
        <f t="shared" si="6"/>
        <v>0</v>
      </c>
      <c r="E80" s="17">
        <f t="shared" ca="1" si="7"/>
        <v>7</v>
      </c>
      <c r="F80" s="49">
        <f t="shared" ca="1" si="18"/>
        <v>47657</v>
      </c>
      <c r="G80" s="17">
        <v>48</v>
      </c>
      <c r="H80" s="17" t="str">
        <f t="shared" si="8"/>
        <v/>
      </c>
      <c r="I80" s="50" t="str">
        <f t="shared" si="9"/>
        <v/>
      </c>
      <c r="J80" s="51" t="str">
        <f t="shared" si="10"/>
        <v/>
      </c>
      <c r="K80" s="50" t="str">
        <f t="shared" si="11"/>
        <v/>
      </c>
      <c r="L80" s="52" t="str">
        <f>IF(LEN(H80)=0,IF(LEN(H79)&gt;0,SUM(L$32:L79)-L$32,""),IF(SYS!$AU$51="ануітет",IF(LEN(H81)=0,N80+M80,ROUND(PMT(SYS!$AG$52/12,D$8,$M$32),2))+P80,
IF(SYS!$AU$51="6 міс.% далі ануітет",IF(H80&lt;=6,N80,IF(LEN(H81)=0,N80+M80,ROUND(PMT(SYS!$AG$52/12,D$8-6,$M$32),2))+P80),
IF(SYS!$AU$51="3 міс.% далі ануітет",IF(H80&lt;=3,N80,IF(LEN(H81)=0,N80+M80,ROUND(PMT(SYS!$AG$52/12,D$8-3,$M$32),2))+P80),
IF(SYS!$AU$51="4 міс.% далі ануітет",IF(H80&lt;=4,N80,IF(LEN(H81)=0,N80+M80,ROUND(PMT(SYS!$AG$52/12,D$8-4,$M$32),2))+P80))))))</f>
        <v/>
      </c>
      <c r="M80" s="52" t="str">
        <f>IF(LEN(H80)=0,IF(LEN(H79)&gt;0,SUM(M$32:M79)-M$32,""),IF(LEN(H81)=0,SUM(M$32:M79)*-1,L80-N80-P80))</f>
        <v/>
      </c>
      <c r="N80" s="52" t="str">
        <f>IF(LEN(H80)=0,IF(LEN(H79)&gt;0,SUM(N$32:N79),""),ROUND((SUM(M$32:M79)*-1)*SYS!$AG$52/365*КАЛЬКУЛЯТОР!K80,2))</f>
        <v/>
      </c>
      <c r="O80" s="50" t="str">
        <f t="shared" si="12"/>
        <v/>
      </c>
      <c r="P80" s="52" t="str">
        <f>IF(LEN(H80)=0,IF(LEN(H79)&gt;0,SUM(P$32:P79),""),IF(SYS!$AV$51=SYS!$A$2,SUM(КАЛЬКУЛЯТОР!M$32:M79)*-1*$L$10,M$32*-1*L$10))</f>
        <v/>
      </c>
      <c r="Q80" s="53" t="str">
        <f t="shared" si="13"/>
        <v/>
      </c>
      <c r="R80" s="50" t="str">
        <f t="shared" si="14"/>
        <v/>
      </c>
      <c r="S80" s="50" t="str">
        <f t="shared" si="15"/>
        <v/>
      </c>
      <c r="T80" s="50" t="str">
        <f t="shared" si="16"/>
        <v/>
      </c>
      <c r="Y80" s="54" t="str">
        <f t="shared" si="20"/>
        <v/>
      </c>
      <c r="Z80" s="50" t="str">
        <f t="shared" si="21"/>
        <v/>
      </c>
    </row>
    <row r="81" spans="1:26" x14ac:dyDescent="0.2">
      <c r="A81" s="17" t="str">
        <f t="shared" si="2"/>
        <v/>
      </c>
      <c r="B81" s="42" t="str">
        <f t="shared" si="19"/>
        <v/>
      </c>
      <c r="C81" s="17">
        <f t="shared" si="5"/>
        <v>0</v>
      </c>
      <c r="D81" s="17">
        <f t="shared" si="6"/>
        <v>0</v>
      </c>
      <c r="E81" s="17">
        <f t="shared" ca="1" si="7"/>
        <v>2</v>
      </c>
      <c r="F81" s="49">
        <f t="shared" ca="1" si="18"/>
        <v>47687</v>
      </c>
      <c r="G81" s="17">
        <v>49</v>
      </c>
      <c r="H81" s="17" t="str">
        <f t="shared" si="8"/>
        <v/>
      </c>
      <c r="I81" s="50" t="str">
        <f t="shared" si="9"/>
        <v/>
      </c>
      <c r="J81" s="51" t="str">
        <f t="shared" si="10"/>
        <v/>
      </c>
      <c r="K81" s="50" t="str">
        <f t="shared" si="11"/>
        <v/>
      </c>
      <c r="L81" s="52" t="str">
        <f>IF(LEN(H81)=0,IF(LEN(H80)&gt;0,SUM(L$32:L80)-L$32,""),IF(SYS!$AU$51="ануітет",IF(LEN(H82)=0,N81+M81,ROUND(PMT(SYS!$AG$52/12,D$8,$M$32),2))+P81,
IF(SYS!$AU$51="6 міс.% далі ануітет",IF(H81&lt;=6,N81,IF(LEN(H82)=0,N81+M81,ROUND(PMT(SYS!$AG$52/12,D$8-6,$M$32),2))+P81),
IF(SYS!$AU$51="3 міс.% далі ануітет",IF(H81&lt;=3,N81,IF(LEN(H82)=0,N81+M81,ROUND(PMT(SYS!$AG$52/12,D$8-3,$M$32),2))+P81),
IF(SYS!$AU$51="4 міс.% далі ануітет",IF(H81&lt;=4,N81,IF(LEN(H82)=0,N81+M81,ROUND(PMT(SYS!$AG$52/12,D$8-4,$M$32),2))+P81))))))</f>
        <v/>
      </c>
      <c r="M81" s="52" t="str">
        <f>IF(LEN(H81)=0,IF(LEN(H80)&gt;0,SUM(M$32:M80)-M$32,""),IF(LEN(H82)=0,SUM(M$32:M80)*-1,L81-N81-P81))</f>
        <v/>
      </c>
      <c r="N81" s="52" t="str">
        <f>IF(LEN(H81)=0,IF(LEN(H80)&gt;0,SUM(N$32:N80),""),ROUND((SUM(M$32:M80)*-1)*SYS!$AG$52/365*КАЛЬКУЛЯТОР!K81,2))</f>
        <v/>
      </c>
      <c r="O81" s="50" t="str">
        <f t="shared" si="12"/>
        <v/>
      </c>
      <c r="P81" s="52" t="str">
        <f>IF(LEN(H81)=0,IF(LEN(H80)&gt;0,SUM(P$32:P80),""),IF(SYS!$AV$51=SYS!$A$2,SUM(КАЛЬКУЛЯТОР!M$32:M80)*-1*$L$10,M$32*-1*L$10))</f>
        <v/>
      </c>
      <c r="Q81" s="53" t="str">
        <f t="shared" si="13"/>
        <v/>
      </c>
      <c r="R81" s="50" t="str">
        <f t="shared" si="14"/>
        <v/>
      </c>
      <c r="S81" s="50" t="str">
        <f t="shared" si="15"/>
        <v/>
      </c>
      <c r="T81" s="50" t="str">
        <f t="shared" si="16"/>
        <v/>
      </c>
      <c r="Y81" s="54" t="str">
        <f t="shared" si="20"/>
        <v/>
      </c>
      <c r="Z81" s="50" t="str">
        <f t="shared" si="21"/>
        <v/>
      </c>
    </row>
    <row r="82" spans="1:26" x14ac:dyDescent="0.2">
      <c r="A82" s="17" t="str">
        <f t="shared" si="2"/>
        <v/>
      </c>
      <c r="B82" s="42" t="str">
        <f t="shared" si="19"/>
        <v/>
      </c>
      <c r="C82" s="17">
        <f t="shared" si="5"/>
        <v>0</v>
      </c>
      <c r="D82" s="17">
        <f t="shared" si="6"/>
        <v>0</v>
      </c>
      <c r="E82" s="17">
        <f t="shared" ca="1" si="7"/>
        <v>5</v>
      </c>
      <c r="F82" s="49">
        <f t="shared" ca="1" si="18"/>
        <v>47718</v>
      </c>
      <c r="G82" s="17">
        <v>50</v>
      </c>
      <c r="H82" s="17" t="str">
        <f t="shared" si="8"/>
        <v/>
      </c>
      <c r="I82" s="50" t="str">
        <f t="shared" si="9"/>
        <v/>
      </c>
      <c r="J82" s="51" t="str">
        <f t="shared" si="10"/>
        <v/>
      </c>
      <c r="K82" s="50" t="str">
        <f t="shared" si="11"/>
        <v/>
      </c>
      <c r="L82" s="52" t="str">
        <f>IF(LEN(H82)=0,IF(LEN(H81)&gt;0,SUM(L$32:L81)-L$32,""),IF(SYS!$AU$51="ануітет",IF(LEN(H83)=0,N82+M82,ROUND(PMT(SYS!$AG$52/12,D$8,$M$32),2))+P82,
IF(SYS!$AU$51="6 міс.% далі ануітет",IF(H82&lt;=6,N82,IF(LEN(H83)=0,N82+M82,ROUND(PMT(SYS!$AG$52/12,D$8-6,$M$32),2))+P82),
IF(SYS!$AU$51="3 міс.% далі ануітет",IF(H82&lt;=3,N82,IF(LEN(H83)=0,N82+M82,ROUND(PMT(SYS!$AG$52/12,D$8-3,$M$32),2))+P82),
IF(SYS!$AU$51="4 міс.% далі ануітет",IF(H82&lt;=4,N82,IF(LEN(H83)=0,N82+M82,ROUND(PMT(SYS!$AG$52/12,D$8-4,$M$32),2))+P82))))))</f>
        <v/>
      </c>
      <c r="M82" s="52" t="str">
        <f>IF(LEN(H82)=0,IF(LEN(H81)&gt;0,SUM(M$32:M81)-M$32,""),IF(LEN(H83)=0,SUM(M$32:M81)*-1,L82-N82-P82))</f>
        <v/>
      </c>
      <c r="N82" s="52" t="str">
        <f>IF(LEN(H82)=0,IF(LEN(H81)&gt;0,SUM(N$32:N81),""),ROUND((SUM(M$32:M81)*-1)*SYS!$AG$52/365*КАЛЬКУЛЯТОР!K82,2))</f>
        <v/>
      </c>
      <c r="O82" s="50" t="str">
        <f t="shared" si="12"/>
        <v/>
      </c>
      <c r="P82" s="52" t="str">
        <f>IF(LEN(H82)=0,IF(LEN(H81)&gt;0,SUM(P$32:P81),""),IF(SYS!$AV$51=SYS!$A$2,SUM(КАЛЬКУЛЯТОР!M$32:M81)*-1*$L$10,M$32*-1*L$10))</f>
        <v/>
      </c>
      <c r="Q82" s="53" t="str">
        <f t="shared" si="13"/>
        <v/>
      </c>
      <c r="R82" s="50" t="str">
        <f t="shared" si="14"/>
        <v/>
      </c>
      <c r="S82" s="50" t="str">
        <f t="shared" si="15"/>
        <v/>
      </c>
      <c r="T82" s="50" t="str">
        <f t="shared" si="16"/>
        <v/>
      </c>
      <c r="Y82" s="54" t="str">
        <f t="shared" si="20"/>
        <v/>
      </c>
      <c r="Z82" s="50" t="str">
        <f t="shared" si="21"/>
        <v/>
      </c>
    </row>
    <row r="83" spans="1:26" x14ac:dyDescent="0.2">
      <c r="A83" s="17" t="str">
        <f t="shared" si="2"/>
        <v/>
      </c>
      <c r="B83" s="42" t="str">
        <f t="shared" si="19"/>
        <v/>
      </c>
      <c r="C83" s="17">
        <f t="shared" si="5"/>
        <v>0</v>
      </c>
      <c r="D83" s="17">
        <f t="shared" si="6"/>
        <v>0</v>
      </c>
      <c r="E83" s="17">
        <f t="shared" ca="1" si="7"/>
        <v>1</v>
      </c>
      <c r="F83" s="49">
        <f t="shared" ca="1" si="18"/>
        <v>47749</v>
      </c>
      <c r="G83" s="17">
        <v>51</v>
      </c>
      <c r="H83" s="17" t="str">
        <f t="shared" si="8"/>
        <v/>
      </c>
      <c r="I83" s="50" t="str">
        <f t="shared" si="9"/>
        <v/>
      </c>
      <c r="J83" s="51" t="str">
        <f t="shared" si="10"/>
        <v/>
      </c>
      <c r="K83" s="50" t="str">
        <f t="shared" si="11"/>
        <v/>
      </c>
      <c r="L83" s="52" t="str">
        <f>IF(LEN(H83)=0,IF(LEN(H82)&gt;0,SUM(L$32:L82)-L$32,""),IF(SYS!$AU$51="ануітет",IF(LEN(H84)=0,N83+M83,ROUND(PMT(SYS!$AG$52/12,D$8,$M$32),2))+P83,
IF(SYS!$AU$51="6 міс.% далі ануітет",IF(H83&lt;=6,N83,IF(LEN(H84)=0,N83+M83,ROUND(PMT(SYS!$AG$52/12,D$8-6,$M$32),2))+P83),
IF(SYS!$AU$51="3 міс.% далі ануітет",IF(H83&lt;=3,N83,IF(LEN(H84)=0,N83+M83,ROUND(PMT(SYS!$AG$52/12,D$8-3,$M$32),2))+P83),
IF(SYS!$AU$51="4 міс.% далі ануітет",IF(H83&lt;=4,N83,IF(LEN(H84)=0,N83+M83,ROUND(PMT(SYS!$AG$52/12,D$8-4,$M$32),2))+P83))))))</f>
        <v/>
      </c>
      <c r="M83" s="52" t="str">
        <f>IF(LEN(H83)=0,IF(LEN(H82)&gt;0,SUM(M$32:M82)-M$32,""),IF(LEN(H84)=0,SUM(M$32:M82)*-1,L83-N83-P83))</f>
        <v/>
      </c>
      <c r="N83" s="52" t="str">
        <f>IF(LEN(H83)=0,IF(LEN(H82)&gt;0,SUM(N$32:N82),""),ROUND((SUM(M$32:M82)*-1)*SYS!$AG$52/365*КАЛЬКУЛЯТОР!K83,2))</f>
        <v/>
      </c>
      <c r="O83" s="50" t="str">
        <f t="shared" si="12"/>
        <v/>
      </c>
      <c r="P83" s="52" t="str">
        <f>IF(LEN(H83)=0,IF(LEN(H82)&gt;0,SUM(P$32:P82),""),IF(SYS!$AV$51=SYS!$A$2,SUM(КАЛЬКУЛЯТОР!M$32:M82)*-1*$L$10,M$32*-1*L$10))</f>
        <v/>
      </c>
      <c r="Q83" s="53" t="str">
        <f t="shared" si="13"/>
        <v/>
      </c>
      <c r="R83" s="50" t="str">
        <f t="shared" si="14"/>
        <v/>
      </c>
      <c r="S83" s="50" t="str">
        <f t="shared" si="15"/>
        <v/>
      </c>
      <c r="T83" s="50" t="str">
        <f t="shared" si="16"/>
        <v/>
      </c>
      <c r="Y83" s="54" t="str">
        <f t="shared" si="20"/>
        <v/>
      </c>
      <c r="Z83" s="50" t="str">
        <f t="shared" si="21"/>
        <v/>
      </c>
    </row>
    <row r="84" spans="1:26" x14ac:dyDescent="0.2">
      <c r="A84" s="17" t="str">
        <f t="shared" si="2"/>
        <v/>
      </c>
      <c r="B84" s="42" t="str">
        <f t="shared" si="19"/>
        <v/>
      </c>
      <c r="C84" s="17">
        <f t="shared" si="5"/>
        <v>0</v>
      </c>
      <c r="D84" s="17">
        <f t="shared" si="6"/>
        <v>0</v>
      </c>
      <c r="E84" s="17">
        <f t="shared" ca="1" si="7"/>
        <v>3</v>
      </c>
      <c r="F84" s="49">
        <f t="shared" ca="1" si="18"/>
        <v>47779</v>
      </c>
      <c r="G84" s="17">
        <v>52</v>
      </c>
      <c r="H84" s="17" t="str">
        <f t="shared" si="8"/>
        <v/>
      </c>
      <c r="I84" s="50" t="str">
        <f t="shared" si="9"/>
        <v/>
      </c>
      <c r="J84" s="51" t="str">
        <f t="shared" si="10"/>
        <v/>
      </c>
      <c r="K84" s="50" t="str">
        <f t="shared" si="11"/>
        <v/>
      </c>
      <c r="L84" s="52" t="str">
        <f>IF(LEN(H84)=0,IF(LEN(H83)&gt;0,SUM(L$32:L83)-L$32,""),IF(SYS!$AU$51="ануітет",IF(LEN(H85)=0,N84+M84,ROUND(PMT(SYS!$AG$52/12,D$8,$M$32),2))+P84,
IF(SYS!$AU$51="6 міс.% далі ануітет",IF(H84&lt;=6,N84,IF(LEN(H85)=0,N84+M84,ROUND(PMT(SYS!$AG$52/12,D$8-6,$M$32),2))+P84),
IF(SYS!$AU$51="3 міс.% далі ануітет",IF(H84&lt;=3,N84,IF(LEN(H85)=0,N84+M84,ROUND(PMT(SYS!$AG$52/12,D$8-3,$M$32),2))+P84),
IF(SYS!$AU$51="4 міс.% далі ануітет",IF(H84&lt;=4,N84,IF(LEN(H85)=0,N84+M84,ROUND(PMT(SYS!$AG$52/12,D$8-4,$M$32),2))+P84))))))</f>
        <v/>
      </c>
      <c r="M84" s="52" t="str">
        <f>IF(LEN(H84)=0,IF(LEN(H83)&gt;0,SUM(M$32:M83)-M$32,""),IF(LEN(H85)=0,SUM(M$32:M83)*-1,L84-N84-P84))</f>
        <v/>
      </c>
      <c r="N84" s="52" t="str">
        <f>IF(LEN(H84)=0,IF(LEN(H83)&gt;0,SUM(N$32:N83),""),ROUND((SUM(M$32:M83)*-1)*SYS!$AG$52/365*КАЛЬКУЛЯТОР!K84,2))</f>
        <v/>
      </c>
      <c r="O84" s="50" t="str">
        <f t="shared" si="12"/>
        <v/>
      </c>
      <c r="P84" s="52" t="str">
        <f>IF(LEN(H84)=0,IF(LEN(H83)&gt;0,SUM(P$32:P83),""),IF(SYS!$AV$51=SYS!$A$2,SUM(КАЛЬКУЛЯТОР!M$32:M83)*-1*$L$10,M$32*-1*L$10))</f>
        <v/>
      </c>
      <c r="Q84" s="53" t="str">
        <f t="shared" si="13"/>
        <v/>
      </c>
      <c r="R84" s="50" t="str">
        <f t="shared" si="14"/>
        <v/>
      </c>
      <c r="S84" s="50" t="str">
        <f t="shared" si="15"/>
        <v/>
      </c>
      <c r="T84" s="50" t="str">
        <f t="shared" si="16"/>
        <v/>
      </c>
      <c r="Y84" s="54" t="str">
        <f t="shared" si="20"/>
        <v/>
      </c>
      <c r="Z84" s="50" t="str">
        <f t="shared" si="21"/>
        <v/>
      </c>
    </row>
    <row r="85" spans="1:26" x14ac:dyDescent="0.2">
      <c r="A85" s="17" t="str">
        <f t="shared" si="2"/>
        <v/>
      </c>
      <c r="B85" s="42" t="str">
        <f t="shared" si="19"/>
        <v/>
      </c>
      <c r="C85" s="17">
        <f t="shared" si="5"/>
        <v>0</v>
      </c>
      <c r="D85" s="17">
        <f t="shared" si="6"/>
        <v>0</v>
      </c>
      <c r="E85" s="17">
        <f t="shared" ca="1" si="7"/>
        <v>6</v>
      </c>
      <c r="F85" s="49">
        <f t="shared" ca="1" si="18"/>
        <v>47810</v>
      </c>
      <c r="G85" s="17">
        <v>53</v>
      </c>
      <c r="H85" s="17" t="str">
        <f t="shared" si="8"/>
        <v/>
      </c>
      <c r="I85" s="50" t="str">
        <f t="shared" si="9"/>
        <v/>
      </c>
      <c r="J85" s="51" t="str">
        <f t="shared" si="10"/>
        <v/>
      </c>
      <c r="K85" s="50" t="str">
        <f t="shared" si="11"/>
        <v/>
      </c>
      <c r="L85" s="52" t="str">
        <f>IF(LEN(H85)=0,IF(LEN(H84)&gt;0,SUM(L$32:L84)-L$32,""),IF(SYS!$AU$51="ануітет",IF(LEN(H86)=0,N85+M85,ROUND(PMT(SYS!$AG$52/12,D$8,$M$32),2))+P85,
IF(SYS!$AU$51="6 міс.% далі ануітет",IF(H85&lt;=6,N85,IF(LEN(H86)=0,N85+M85,ROUND(PMT(SYS!$AG$52/12,D$8-6,$M$32),2))+P85),
IF(SYS!$AU$51="3 міс.% далі ануітет",IF(H85&lt;=3,N85,IF(LEN(H86)=0,N85+M85,ROUND(PMT(SYS!$AG$52/12,D$8-3,$M$32),2))+P85),
IF(SYS!$AU$51="4 міс.% далі ануітет",IF(H85&lt;=4,N85,IF(LEN(H86)=0,N85+M85,ROUND(PMT(SYS!$AG$52/12,D$8-4,$M$32),2))+P85))))))</f>
        <v/>
      </c>
      <c r="M85" s="52" t="str">
        <f>IF(LEN(H85)=0,IF(LEN(H84)&gt;0,SUM(M$32:M84)-M$32,""),IF(LEN(H86)=0,SUM(M$32:M84)*-1,L85-N85-P85))</f>
        <v/>
      </c>
      <c r="N85" s="52" t="str">
        <f>IF(LEN(H85)=0,IF(LEN(H84)&gt;0,SUM(N$32:N84),""),ROUND((SUM(M$32:M84)*-1)*SYS!$AG$52/365*КАЛЬКУЛЯТОР!K85,2))</f>
        <v/>
      </c>
      <c r="O85" s="50" t="str">
        <f t="shared" si="12"/>
        <v/>
      </c>
      <c r="P85" s="52" t="str">
        <f>IF(LEN(H85)=0,IF(LEN(H84)&gt;0,SUM(P$32:P84),""),IF(SYS!$AV$51=SYS!$A$2,SUM(КАЛЬКУЛЯТОР!M$32:M84)*-1*$L$10,M$32*-1*L$10))</f>
        <v/>
      </c>
      <c r="Q85" s="53" t="str">
        <f t="shared" si="13"/>
        <v/>
      </c>
      <c r="R85" s="50" t="str">
        <f t="shared" si="14"/>
        <v/>
      </c>
      <c r="S85" s="50" t="str">
        <f t="shared" si="15"/>
        <v/>
      </c>
      <c r="T85" s="50" t="str">
        <f t="shared" si="16"/>
        <v/>
      </c>
      <c r="Y85" s="54" t="str">
        <f t="shared" si="20"/>
        <v/>
      </c>
      <c r="Z85" s="50" t="str">
        <f t="shared" si="21"/>
        <v/>
      </c>
    </row>
    <row r="86" spans="1:26" x14ac:dyDescent="0.2">
      <c r="A86" s="17" t="str">
        <f t="shared" si="2"/>
        <v/>
      </c>
      <c r="B86" s="42" t="str">
        <f t="shared" si="19"/>
        <v/>
      </c>
      <c r="C86" s="17">
        <f t="shared" si="5"/>
        <v>0</v>
      </c>
      <c r="D86" s="17">
        <f t="shared" si="6"/>
        <v>0</v>
      </c>
      <c r="E86" s="17">
        <f t="shared" ca="1" si="7"/>
        <v>1</v>
      </c>
      <c r="F86" s="49">
        <f t="shared" ca="1" si="18"/>
        <v>47840</v>
      </c>
      <c r="G86" s="17">
        <v>54</v>
      </c>
      <c r="H86" s="17" t="str">
        <f t="shared" si="8"/>
        <v/>
      </c>
      <c r="I86" s="50" t="str">
        <f t="shared" si="9"/>
        <v/>
      </c>
      <c r="J86" s="51" t="str">
        <f t="shared" si="10"/>
        <v/>
      </c>
      <c r="K86" s="50" t="str">
        <f t="shared" si="11"/>
        <v/>
      </c>
      <c r="L86" s="52" t="str">
        <f>IF(LEN(H86)=0,IF(LEN(H85)&gt;0,SUM(L$32:L85)-L$32,""),IF(SYS!$AU$51="ануітет",IF(LEN(H87)=0,N86+M86,ROUND(PMT(SYS!$AG$52/12,D$8,$M$32),2))+P86,
IF(SYS!$AU$51="6 міс.% далі ануітет",IF(H86&lt;=6,N86,IF(LEN(H87)=0,N86+M86,ROUND(PMT(SYS!$AG$52/12,D$8-6,$M$32),2))+P86),
IF(SYS!$AU$51="3 міс.% далі ануітет",IF(H86&lt;=3,N86,IF(LEN(H87)=0,N86+M86,ROUND(PMT(SYS!$AG$52/12,D$8-3,$M$32),2))+P86),
IF(SYS!$AU$51="4 міс.% далі ануітет",IF(H86&lt;=4,N86,IF(LEN(H87)=0,N86+M86,ROUND(PMT(SYS!$AG$52/12,D$8-4,$M$32),2))+P86))))))</f>
        <v/>
      </c>
      <c r="M86" s="52" t="str">
        <f>IF(LEN(H86)=0,IF(LEN(H85)&gt;0,SUM(M$32:M85)-M$32,""),IF(LEN(H87)=0,SUM(M$32:M85)*-1,L86-N86-P86))</f>
        <v/>
      </c>
      <c r="N86" s="52" t="str">
        <f>IF(LEN(H86)=0,IF(LEN(H85)&gt;0,SUM(N$32:N85),""),ROUND((SUM(M$32:M85)*-1)*SYS!$AG$52/365*КАЛЬКУЛЯТОР!K86,2))</f>
        <v/>
      </c>
      <c r="O86" s="50" t="str">
        <f t="shared" si="12"/>
        <v/>
      </c>
      <c r="P86" s="52" t="str">
        <f>IF(LEN(H86)=0,IF(LEN(H85)&gt;0,SUM(P$32:P85),""),IF(SYS!$AV$51=SYS!$A$2,SUM(КАЛЬКУЛЯТОР!M$32:M85)*-1*$L$10,M$32*-1*L$10))</f>
        <v/>
      </c>
      <c r="Q86" s="53" t="str">
        <f t="shared" si="13"/>
        <v/>
      </c>
      <c r="R86" s="50" t="str">
        <f t="shared" si="14"/>
        <v/>
      </c>
      <c r="S86" s="50" t="str">
        <f t="shared" si="15"/>
        <v/>
      </c>
      <c r="T86" s="50" t="str">
        <f t="shared" si="16"/>
        <v/>
      </c>
      <c r="Y86" s="54" t="str">
        <f t="shared" si="20"/>
        <v/>
      </c>
      <c r="Z86" s="50" t="str">
        <f t="shared" si="21"/>
        <v/>
      </c>
    </row>
    <row r="87" spans="1:26" x14ac:dyDescent="0.2">
      <c r="A87" s="17" t="str">
        <f t="shared" si="2"/>
        <v/>
      </c>
      <c r="B87" s="42" t="str">
        <f t="shared" si="19"/>
        <v/>
      </c>
      <c r="C87" s="17">
        <f t="shared" si="5"/>
        <v>0</v>
      </c>
      <c r="D87" s="17">
        <f t="shared" si="6"/>
        <v>0</v>
      </c>
      <c r="E87" s="17">
        <f t="shared" ca="1" si="7"/>
        <v>4</v>
      </c>
      <c r="F87" s="49">
        <f t="shared" ca="1" si="18"/>
        <v>47871</v>
      </c>
      <c r="G87" s="17">
        <v>55</v>
      </c>
      <c r="H87" s="17" t="str">
        <f t="shared" si="8"/>
        <v/>
      </c>
      <c r="I87" s="50" t="str">
        <f t="shared" si="9"/>
        <v/>
      </c>
      <c r="J87" s="51" t="str">
        <f t="shared" si="10"/>
        <v/>
      </c>
      <c r="K87" s="50" t="str">
        <f t="shared" si="11"/>
        <v/>
      </c>
      <c r="L87" s="52" t="str">
        <f>IF(LEN(H87)=0,IF(LEN(H86)&gt;0,SUM(L$32:L86)-L$32,""),IF(SYS!$AU$51="ануітет",IF(LEN(H88)=0,N87+M87,ROUND(PMT(SYS!$AG$52/12,D$8,$M$32),2))+P87,
IF(SYS!$AU$51="6 міс.% далі ануітет",IF(H87&lt;=6,N87,IF(LEN(H88)=0,N87+M87,ROUND(PMT(SYS!$AG$52/12,D$8-6,$M$32),2))+P87),
IF(SYS!$AU$51="3 міс.% далі ануітет",IF(H87&lt;=3,N87,IF(LEN(H88)=0,N87+M87,ROUND(PMT(SYS!$AG$52/12,D$8-3,$M$32),2))+P87),
IF(SYS!$AU$51="4 міс.% далі ануітет",IF(H87&lt;=4,N87,IF(LEN(H88)=0,N87+M87,ROUND(PMT(SYS!$AG$52/12,D$8-4,$M$32),2))+P87))))))</f>
        <v/>
      </c>
      <c r="M87" s="52" t="str">
        <f>IF(LEN(H87)=0,IF(LEN(H86)&gt;0,SUM(M$32:M86)-M$32,""),IF(LEN(H88)=0,SUM(M$32:M86)*-1,L87-N87-P87))</f>
        <v/>
      </c>
      <c r="N87" s="52" t="str">
        <f>IF(LEN(H87)=0,IF(LEN(H86)&gt;0,SUM(N$32:N86),""),ROUND((SUM(M$32:M86)*-1)*SYS!$AG$52/365*КАЛЬКУЛЯТОР!K87,2))</f>
        <v/>
      </c>
      <c r="O87" s="50" t="str">
        <f t="shared" si="12"/>
        <v/>
      </c>
      <c r="P87" s="52" t="str">
        <f>IF(LEN(H87)=0,IF(LEN(H86)&gt;0,SUM(P$32:P86),""),IF(SYS!$AV$51=SYS!$A$2,SUM(КАЛЬКУЛЯТОР!M$32:M86)*-1*$L$10,M$32*-1*L$10))</f>
        <v/>
      </c>
      <c r="Q87" s="53" t="str">
        <f t="shared" si="13"/>
        <v/>
      </c>
      <c r="R87" s="50" t="str">
        <f t="shared" si="14"/>
        <v/>
      </c>
      <c r="S87" s="50" t="str">
        <f t="shared" si="15"/>
        <v/>
      </c>
      <c r="T87" s="50" t="str">
        <f t="shared" si="16"/>
        <v/>
      </c>
      <c r="Y87" s="54" t="str">
        <f t="shared" si="20"/>
        <v/>
      </c>
      <c r="Z87" s="50" t="str">
        <f t="shared" si="21"/>
        <v/>
      </c>
    </row>
    <row r="88" spans="1:26" x14ac:dyDescent="0.2">
      <c r="A88" s="17" t="str">
        <f t="shared" si="2"/>
        <v/>
      </c>
      <c r="B88" s="42" t="str">
        <f t="shared" si="19"/>
        <v/>
      </c>
      <c r="C88" s="17">
        <f t="shared" si="5"/>
        <v>0</v>
      </c>
      <c r="D88" s="17">
        <f t="shared" si="6"/>
        <v>0</v>
      </c>
      <c r="E88" s="17">
        <f t="shared" ca="1" si="7"/>
        <v>7</v>
      </c>
      <c r="F88" s="49">
        <f t="shared" ca="1" si="18"/>
        <v>47902</v>
      </c>
      <c r="G88" s="17">
        <v>56</v>
      </c>
      <c r="H88" s="17" t="str">
        <f t="shared" si="8"/>
        <v/>
      </c>
      <c r="I88" s="50" t="str">
        <f t="shared" si="9"/>
        <v/>
      </c>
      <c r="J88" s="51" t="str">
        <f t="shared" si="10"/>
        <v/>
      </c>
      <c r="K88" s="50" t="str">
        <f t="shared" si="11"/>
        <v/>
      </c>
      <c r="L88" s="52" t="str">
        <f>IF(LEN(H88)=0,IF(LEN(H87)&gt;0,SUM(L$32:L87)-L$32,""),IF(SYS!$AU$51="ануітет",IF(LEN(H89)=0,N88+M88,ROUND(PMT(SYS!$AG$52/12,D$8,$M$32),2))+P88,
IF(SYS!$AU$51="6 міс.% далі ануітет",IF(H88&lt;=6,N88,IF(LEN(H89)=0,N88+M88,ROUND(PMT(SYS!$AG$52/12,D$8-6,$M$32),2))+P88),
IF(SYS!$AU$51="3 міс.% далі ануітет",IF(H88&lt;=3,N88,IF(LEN(H89)=0,N88+M88,ROUND(PMT(SYS!$AG$52/12,D$8-3,$M$32),2))+P88),
IF(SYS!$AU$51="4 міс.% далі ануітет",IF(H88&lt;=4,N88,IF(LEN(H89)=0,N88+M88,ROUND(PMT(SYS!$AG$52/12,D$8-4,$M$32),2))+P88))))))</f>
        <v/>
      </c>
      <c r="M88" s="52" t="str">
        <f>IF(LEN(H88)=0,IF(LEN(H87)&gt;0,SUM(M$32:M87)-M$32,""),IF(LEN(H89)=0,SUM(M$32:M87)*-1,L88-N88-P88))</f>
        <v/>
      </c>
      <c r="N88" s="52" t="str">
        <f>IF(LEN(H88)=0,IF(LEN(H87)&gt;0,SUM(N$32:N87),""),ROUND((SUM(M$32:M87)*-1)*SYS!$AG$52/365*КАЛЬКУЛЯТОР!K88,2))</f>
        <v/>
      </c>
      <c r="O88" s="50" t="str">
        <f t="shared" si="12"/>
        <v/>
      </c>
      <c r="P88" s="52" t="str">
        <f>IF(LEN(H88)=0,IF(LEN(H87)&gt;0,SUM(P$32:P87),""),IF(SYS!$AV$51=SYS!$A$2,SUM(КАЛЬКУЛЯТОР!M$32:M87)*-1*$L$10,M$32*-1*L$10))</f>
        <v/>
      </c>
      <c r="Q88" s="53" t="str">
        <f t="shared" si="13"/>
        <v/>
      </c>
      <c r="R88" s="50" t="str">
        <f t="shared" si="14"/>
        <v/>
      </c>
      <c r="S88" s="50" t="str">
        <f t="shared" si="15"/>
        <v/>
      </c>
      <c r="T88" s="50" t="str">
        <f t="shared" si="16"/>
        <v/>
      </c>
      <c r="Y88" s="54" t="str">
        <f t="shared" si="20"/>
        <v/>
      </c>
      <c r="Z88" s="50" t="str">
        <f t="shared" si="21"/>
        <v/>
      </c>
    </row>
    <row r="89" spans="1:26" x14ac:dyDescent="0.2">
      <c r="A89" s="17" t="str">
        <f t="shared" si="2"/>
        <v/>
      </c>
      <c r="B89" s="42" t="str">
        <f t="shared" si="19"/>
        <v/>
      </c>
      <c r="C89" s="17">
        <f t="shared" si="5"/>
        <v>0</v>
      </c>
      <c r="D89" s="17">
        <f t="shared" si="6"/>
        <v>0</v>
      </c>
      <c r="E89" s="17">
        <f t="shared" ca="1" si="7"/>
        <v>7</v>
      </c>
      <c r="F89" s="49">
        <f t="shared" ca="1" si="18"/>
        <v>47930</v>
      </c>
      <c r="G89" s="17">
        <v>57</v>
      </c>
      <c r="H89" s="17" t="str">
        <f t="shared" si="8"/>
        <v/>
      </c>
      <c r="I89" s="50" t="str">
        <f t="shared" si="9"/>
        <v/>
      </c>
      <c r="J89" s="51" t="str">
        <f t="shared" si="10"/>
        <v/>
      </c>
      <c r="K89" s="50" t="str">
        <f t="shared" si="11"/>
        <v/>
      </c>
      <c r="L89" s="52" t="str">
        <f>IF(LEN(H89)=0,IF(LEN(H88)&gt;0,SUM(L$32:L88)-L$32,""),IF(SYS!$AU$51="ануітет",IF(LEN(H90)=0,N89+M89,ROUND(PMT(SYS!$AG$52/12,D$8,$M$32),2))+P89,
IF(SYS!$AU$51="6 міс.% далі ануітет",IF(H89&lt;=6,N89,IF(LEN(H90)=0,N89+M89,ROUND(PMT(SYS!$AG$52/12,D$8-6,$M$32),2))+P89),
IF(SYS!$AU$51="3 міс.% далі ануітет",IF(H89&lt;=3,N89,IF(LEN(H90)=0,N89+M89,ROUND(PMT(SYS!$AG$52/12,D$8-3,$M$32),2))+P89),
IF(SYS!$AU$51="4 міс.% далі ануітет",IF(H89&lt;=4,N89,IF(LEN(H90)=0,N89+M89,ROUND(PMT(SYS!$AG$52/12,D$8-4,$M$32),2))+P89))))))</f>
        <v/>
      </c>
      <c r="M89" s="52" t="str">
        <f>IF(LEN(H89)=0,IF(LEN(H88)&gt;0,SUM(M$32:M88)-M$32,""),IF(LEN(H90)=0,SUM(M$32:M88)*-1,L89-N89-P89))</f>
        <v/>
      </c>
      <c r="N89" s="52" t="str">
        <f>IF(LEN(H89)=0,IF(LEN(H88)&gt;0,SUM(N$32:N88),""),ROUND((SUM(M$32:M88)*-1)*SYS!$AG$52/365*КАЛЬКУЛЯТОР!K89,2))</f>
        <v/>
      </c>
      <c r="O89" s="50" t="str">
        <f t="shared" si="12"/>
        <v/>
      </c>
      <c r="P89" s="52" t="str">
        <f>IF(LEN(H89)=0,IF(LEN(H88)&gt;0,SUM(P$32:P88),""),IF(SYS!$AV$51=SYS!$A$2,SUM(КАЛЬКУЛЯТОР!M$32:M88)*-1*$L$10,M$32*-1*L$10))</f>
        <v/>
      </c>
      <c r="Q89" s="53" t="str">
        <f t="shared" si="13"/>
        <v/>
      </c>
      <c r="R89" s="50" t="str">
        <f t="shared" si="14"/>
        <v/>
      </c>
      <c r="S89" s="50" t="str">
        <f t="shared" si="15"/>
        <v/>
      </c>
      <c r="T89" s="50" t="str">
        <f t="shared" si="16"/>
        <v/>
      </c>
      <c r="Y89" s="54" t="str">
        <f t="shared" si="20"/>
        <v/>
      </c>
      <c r="Z89" s="50" t="str">
        <f t="shared" si="21"/>
        <v/>
      </c>
    </row>
    <row r="90" spans="1:26" x14ac:dyDescent="0.2">
      <c r="A90" s="17" t="str">
        <f t="shared" si="2"/>
        <v/>
      </c>
      <c r="B90" s="42" t="str">
        <f t="shared" si="19"/>
        <v/>
      </c>
      <c r="C90" s="17">
        <f t="shared" si="5"/>
        <v>0</v>
      </c>
      <c r="D90" s="17">
        <f t="shared" si="6"/>
        <v>0</v>
      </c>
      <c r="E90" s="17">
        <f t="shared" ca="1" si="7"/>
        <v>3</v>
      </c>
      <c r="F90" s="49">
        <f t="shared" ca="1" si="18"/>
        <v>47961</v>
      </c>
      <c r="G90" s="17">
        <v>58</v>
      </c>
      <c r="H90" s="17" t="str">
        <f t="shared" si="8"/>
        <v/>
      </c>
      <c r="I90" s="50" t="str">
        <f t="shared" si="9"/>
        <v/>
      </c>
      <c r="J90" s="51" t="str">
        <f t="shared" si="10"/>
        <v/>
      </c>
      <c r="K90" s="50" t="str">
        <f t="shared" si="11"/>
        <v/>
      </c>
      <c r="L90" s="52" t="str">
        <f>IF(LEN(H90)=0,IF(LEN(H89)&gt;0,SUM(L$32:L89)-L$32,""),IF(SYS!$AU$51="ануітет",IF(LEN(H91)=0,N90+M90,ROUND(PMT(SYS!$AG$52/12,D$8,$M$32),2))+P90,
IF(SYS!$AU$51="6 міс.% далі ануітет",IF(H90&lt;=6,N90,IF(LEN(H91)=0,N90+M90,ROUND(PMT(SYS!$AG$52/12,D$8-6,$M$32),2))+P90),
IF(SYS!$AU$51="3 міс.% далі ануітет",IF(H90&lt;=3,N90,IF(LEN(H91)=0,N90+M90,ROUND(PMT(SYS!$AG$52/12,D$8-3,$M$32),2))+P90),
IF(SYS!$AU$51="4 міс.% далі ануітет",IF(H90&lt;=4,N90,IF(LEN(H91)=0,N90+M90,ROUND(PMT(SYS!$AG$52/12,D$8-4,$M$32),2))+P90))))))</f>
        <v/>
      </c>
      <c r="M90" s="52" t="str">
        <f>IF(LEN(H90)=0,IF(LEN(H89)&gt;0,SUM(M$32:M89)-M$32,""),IF(LEN(H91)=0,SUM(M$32:M89)*-1,L90-N90-P90))</f>
        <v/>
      </c>
      <c r="N90" s="52" t="str">
        <f>IF(LEN(H90)=0,IF(LEN(H89)&gt;0,SUM(N$32:N89),""),ROUND((SUM(M$32:M89)*-1)*SYS!$AG$52/365*КАЛЬКУЛЯТОР!K90,2))</f>
        <v/>
      </c>
      <c r="O90" s="50" t="str">
        <f t="shared" si="12"/>
        <v/>
      </c>
      <c r="P90" s="52" t="str">
        <f>IF(LEN(H90)=0,IF(LEN(H89)&gt;0,SUM(P$32:P89),""),IF(SYS!$AV$51=SYS!$A$2,SUM(КАЛЬКУЛЯТОР!M$32:M89)*-1*$L$10,M$32*-1*L$10))</f>
        <v/>
      </c>
      <c r="Q90" s="53" t="str">
        <f t="shared" si="13"/>
        <v/>
      </c>
      <c r="R90" s="50" t="str">
        <f t="shared" si="14"/>
        <v/>
      </c>
      <c r="S90" s="50" t="str">
        <f t="shared" si="15"/>
        <v/>
      </c>
      <c r="T90" s="50" t="str">
        <f t="shared" si="16"/>
        <v/>
      </c>
      <c r="Y90" s="54" t="str">
        <f t="shared" si="20"/>
        <v/>
      </c>
      <c r="Z90" s="50" t="str">
        <f t="shared" si="21"/>
        <v/>
      </c>
    </row>
    <row r="91" spans="1:26" x14ac:dyDescent="0.2">
      <c r="A91" s="17" t="str">
        <f t="shared" si="2"/>
        <v/>
      </c>
      <c r="B91" s="42" t="str">
        <f t="shared" si="19"/>
        <v/>
      </c>
      <c r="C91" s="17">
        <f t="shared" si="5"/>
        <v>0</v>
      </c>
      <c r="D91" s="17">
        <f t="shared" si="6"/>
        <v>0</v>
      </c>
      <c r="E91" s="17">
        <f t="shared" ca="1" si="7"/>
        <v>5</v>
      </c>
      <c r="F91" s="49">
        <f t="shared" ca="1" si="18"/>
        <v>47991</v>
      </c>
      <c r="G91" s="17">
        <v>59</v>
      </c>
      <c r="H91" s="17" t="str">
        <f t="shared" si="8"/>
        <v/>
      </c>
      <c r="I91" s="50" t="str">
        <f t="shared" si="9"/>
        <v/>
      </c>
      <c r="J91" s="51" t="str">
        <f t="shared" si="10"/>
        <v/>
      </c>
      <c r="K91" s="50" t="str">
        <f t="shared" si="11"/>
        <v/>
      </c>
      <c r="L91" s="52" t="str">
        <f>IF(LEN(H91)=0,IF(LEN(H90)&gt;0,SUM(L$32:L90)-L$32,""),IF(SYS!$AU$51="ануітет",IF(LEN(H92)=0,N91+M91,ROUND(PMT(SYS!$AG$52/12,D$8,$M$32),2))+P91,
IF(SYS!$AU$51="6 міс.% далі ануітет",IF(H91&lt;=6,N91,IF(LEN(H92)=0,N91+M91,ROUND(PMT(SYS!$AG$52/12,D$8-6,$M$32),2))+P91),
IF(SYS!$AU$51="3 міс.% далі ануітет",IF(H91&lt;=3,N91,IF(LEN(H92)=0,N91+M91,ROUND(PMT(SYS!$AG$52/12,D$8-3,$M$32),2))+P91),
IF(SYS!$AU$51="4 міс.% далі ануітет",IF(H91&lt;=4,N91,IF(LEN(H92)=0,N91+M91,ROUND(PMT(SYS!$AG$52/12,D$8-4,$M$32),2))+P91))))))</f>
        <v/>
      </c>
      <c r="M91" s="52" t="str">
        <f>IF(LEN(H91)=0,IF(LEN(H90)&gt;0,SUM(M$32:M90)-M$32,""),IF(LEN(H92)=0,SUM(M$32:M90)*-1,L91-N91-P91))</f>
        <v/>
      </c>
      <c r="N91" s="52" t="str">
        <f>IF(LEN(H91)=0,IF(LEN(H90)&gt;0,SUM(N$32:N90),""),ROUND((SUM(M$32:M90)*-1)*SYS!$AG$52/365*КАЛЬКУЛЯТОР!K91,2))</f>
        <v/>
      </c>
      <c r="O91" s="50" t="str">
        <f t="shared" si="12"/>
        <v/>
      </c>
      <c r="P91" s="52" t="str">
        <f>IF(LEN(H91)=0,IF(LEN(H90)&gt;0,SUM(P$32:P90),""),IF(SYS!$AV$51=SYS!$A$2,SUM(КАЛЬКУЛЯТОР!M$32:M90)*-1*$L$10,M$32*-1*L$10))</f>
        <v/>
      </c>
      <c r="Q91" s="53" t="str">
        <f t="shared" si="13"/>
        <v/>
      </c>
      <c r="R91" s="50" t="str">
        <f t="shared" si="14"/>
        <v/>
      </c>
      <c r="S91" s="50" t="str">
        <f t="shared" si="15"/>
        <v/>
      </c>
      <c r="T91" s="50" t="str">
        <f t="shared" si="16"/>
        <v/>
      </c>
      <c r="Y91" s="54" t="str">
        <f t="shared" si="20"/>
        <v/>
      </c>
      <c r="Z91" s="50" t="str">
        <f t="shared" si="21"/>
        <v/>
      </c>
    </row>
    <row r="92" spans="1:26" x14ac:dyDescent="0.2">
      <c r="A92" s="17" t="str">
        <f t="shared" si="2"/>
        <v/>
      </c>
      <c r="B92" s="42" t="str">
        <f t="shared" si="19"/>
        <v/>
      </c>
      <c r="C92" s="17">
        <f t="shared" si="5"/>
        <v>0</v>
      </c>
      <c r="D92" s="17">
        <f t="shared" si="6"/>
        <v>0</v>
      </c>
      <c r="E92" s="17">
        <f t="shared" ca="1" si="7"/>
        <v>1</v>
      </c>
      <c r="F92" s="49">
        <f t="shared" ca="1" si="18"/>
        <v>48022</v>
      </c>
      <c r="G92" s="17">
        <v>60</v>
      </c>
      <c r="H92" s="17" t="str">
        <f t="shared" si="8"/>
        <v/>
      </c>
      <c r="I92" s="50" t="str">
        <f t="shared" si="9"/>
        <v/>
      </c>
      <c r="J92" s="51" t="str">
        <f t="shared" si="10"/>
        <v/>
      </c>
      <c r="K92" s="50" t="str">
        <f t="shared" si="11"/>
        <v/>
      </c>
      <c r="L92" s="52" t="str">
        <f>IF(LEN(H92)=0,IF(LEN(H91)&gt;0,SUM(L$32:L91)-L$32,""),IF(SYS!$AU$51="ануітет",IF(LEN(H93)=0,N92+M92,ROUND(PMT(SYS!$AG$52/12,D$8,$M$32),2))+P92,
IF(SYS!$AU$51="6 міс.% далі ануітет",IF(H92&lt;=6,N92,IF(LEN(H93)=0,N92+M92,ROUND(PMT(SYS!$AG$52/12,D$8-6,$M$32),2))+P92),
IF(SYS!$AU$51="3 міс.% далі ануітет",IF(H92&lt;=3,N92,IF(LEN(H93)=0,N92+M92,ROUND(PMT(SYS!$AG$52/12,D$8-3,$M$32),2))+P92),
IF(SYS!$AU$51="4 міс.% далі ануітет",IF(H92&lt;=4,N92,IF(LEN(H93)=0,N92+M92,ROUND(PMT(SYS!$AG$52/12,D$8-4,$M$32),2))+P92))))))</f>
        <v/>
      </c>
      <c r="M92" s="52" t="str">
        <f>IF(LEN(H92)=0,IF(LEN(H91)&gt;0,SUM(M$32:M91)-M$32,""),IF(LEN(H93)=0,SUM(M$32:M91)*-1,L92-N92-P92))</f>
        <v/>
      </c>
      <c r="N92" s="52" t="str">
        <f>IF(LEN(H92)=0,IF(LEN(H91)&gt;0,SUM(N$32:N91),""),ROUND((SUM(M$32:M91)*-1)*SYS!$AG$52/365*КАЛЬКУЛЯТОР!K92,2))</f>
        <v/>
      </c>
      <c r="O92" s="50" t="str">
        <f t="shared" si="12"/>
        <v/>
      </c>
      <c r="P92" s="52" t="str">
        <f>IF(LEN(H92)=0,IF(LEN(H91)&gt;0,SUM(P$32:P91),""),IF(SYS!$AV$51=SYS!$A$2,SUM(КАЛЬКУЛЯТОР!M$32:M91)*-1*$L$10,M$32*-1*L$10))</f>
        <v/>
      </c>
      <c r="Q92" s="53" t="str">
        <f t="shared" si="13"/>
        <v/>
      </c>
      <c r="R92" s="50" t="str">
        <f t="shared" si="14"/>
        <v/>
      </c>
      <c r="S92" s="50" t="str">
        <f t="shared" si="15"/>
        <v/>
      </c>
      <c r="T92" s="50" t="str">
        <f t="shared" si="16"/>
        <v/>
      </c>
      <c r="Y92" s="54" t="str">
        <f t="shared" si="20"/>
        <v/>
      </c>
      <c r="Z92" s="50" t="str">
        <f t="shared" si="21"/>
        <v/>
      </c>
    </row>
    <row r="93" spans="1:26" x14ac:dyDescent="0.2">
      <c r="A93" s="17" t="str">
        <f t="shared" si="2"/>
        <v/>
      </c>
      <c r="B93" s="42" t="str">
        <f t="shared" si="19"/>
        <v/>
      </c>
      <c r="C93" s="17">
        <f t="shared" si="5"/>
        <v>0</v>
      </c>
      <c r="D93" s="17">
        <f t="shared" si="6"/>
        <v>0</v>
      </c>
      <c r="E93" s="17">
        <f t="shared" ca="1" si="7"/>
        <v>3</v>
      </c>
      <c r="F93" s="49">
        <f t="shared" ca="1" si="18"/>
        <v>48052</v>
      </c>
      <c r="G93" s="17">
        <v>61</v>
      </c>
      <c r="H93" s="17" t="str">
        <f t="shared" si="8"/>
        <v/>
      </c>
      <c r="I93" s="50" t="str">
        <f t="shared" si="9"/>
        <v/>
      </c>
      <c r="J93" s="51" t="str">
        <f t="shared" si="10"/>
        <v/>
      </c>
      <c r="K93" s="50" t="str">
        <f t="shared" si="11"/>
        <v/>
      </c>
      <c r="L93" s="52" t="str">
        <f>IF(LEN(H93)=0,IF(LEN(H92)&gt;0,SUM(L$32:L92)-L$32,""),IF(SYS!$AU$51="ануітет",IF(LEN(H94)=0,N93+M93,ROUND(PMT(SYS!$AG$52/12,D$8,$M$32),2))+P93,
IF(SYS!$AU$51="6 міс.% далі ануітет",IF(H93&lt;=6,N93,IF(LEN(H94)=0,N93+M93,ROUND(PMT(SYS!$AG$52/12,D$8-6,$M$32),2))+P93),
IF(SYS!$AU$51="3 міс.% далі ануітет",IF(H93&lt;=3,N93,IF(LEN(H94)=0,N93+M93,ROUND(PMT(SYS!$AG$52/12,D$8-3,$M$32),2))+P93),
IF(SYS!$AU$51="4 міс.% далі ануітет",IF(H93&lt;=4,N93,IF(LEN(H94)=0,N93+M93,ROUND(PMT(SYS!$AG$52/12,D$8-4,$M$32),2))+P93))))))</f>
        <v/>
      </c>
      <c r="M93" s="52" t="str">
        <f>IF(LEN(H93)=0,IF(LEN(H92)&gt;0,SUM(M$32:M92)-M$32,""),IF(LEN(H94)=0,SUM(M$32:M92)*-1,L93-N93-P93))</f>
        <v/>
      </c>
      <c r="N93" s="52" t="str">
        <f>IF(LEN(H93)=0,IF(LEN(H92)&gt;0,SUM(N$32:N92),""),ROUND((SUM(M$32:M92)*-1)*SYS!$AG$52/365*КАЛЬКУЛЯТОР!K93,2))</f>
        <v/>
      </c>
      <c r="O93" s="50" t="str">
        <f t="shared" si="12"/>
        <v/>
      </c>
      <c r="P93" s="52" t="str">
        <f>IF(LEN(H93)=0,IF(LEN(H92)&gt;0,SUM(P$32:P92),""),IF(SYS!$AV$51=SYS!$A$2,SUM(КАЛЬКУЛЯТОР!M$32:M92)*-1*$L$10,M$32*-1*L$10))</f>
        <v/>
      </c>
      <c r="Q93" s="53" t="str">
        <f t="shared" si="13"/>
        <v/>
      </c>
      <c r="R93" s="50" t="str">
        <f t="shared" si="14"/>
        <v/>
      </c>
      <c r="S93" s="50" t="str">
        <f t="shared" si="15"/>
        <v/>
      </c>
      <c r="T93" s="50" t="str">
        <f t="shared" si="16"/>
        <v/>
      </c>
      <c r="Y93" s="54" t="str">
        <f t="shared" si="20"/>
        <v/>
      </c>
      <c r="Z93" s="50" t="str">
        <f t="shared" si="21"/>
        <v/>
      </c>
    </row>
    <row r="94" spans="1:26" x14ac:dyDescent="0.2">
      <c r="A94" s="17" t="str">
        <f t="shared" si="2"/>
        <v/>
      </c>
      <c r="B94" s="42" t="str">
        <f t="shared" si="19"/>
        <v/>
      </c>
      <c r="C94" s="17">
        <f t="shared" si="5"/>
        <v>0</v>
      </c>
      <c r="D94" s="17">
        <f t="shared" si="6"/>
        <v>0</v>
      </c>
      <c r="E94" s="17">
        <f t="shared" ca="1" si="7"/>
        <v>6</v>
      </c>
      <c r="F94" s="49">
        <f t="shared" ca="1" si="18"/>
        <v>48083</v>
      </c>
      <c r="G94" s="17">
        <v>62</v>
      </c>
      <c r="H94" s="17" t="str">
        <f t="shared" si="8"/>
        <v/>
      </c>
      <c r="I94" s="50" t="str">
        <f t="shared" si="9"/>
        <v/>
      </c>
      <c r="J94" s="51" t="str">
        <f t="shared" si="10"/>
        <v/>
      </c>
      <c r="K94" s="50" t="str">
        <f t="shared" si="11"/>
        <v/>
      </c>
      <c r="L94" s="52" t="str">
        <f>IF(LEN(H94)=0,IF(LEN(H93)&gt;0,SUM(L$32:L93)-L$32,""),IF(SYS!$AU$51="ануітет",IF(LEN(H95)=0,N94+M94,ROUND(PMT(SYS!$AG$52/12,D$8,$M$32),2))+P94,
IF(SYS!$AU$51="6 міс.% далі ануітет",IF(H94&lt;=6,N94,IF(LEN(H95)=0,N94+M94,ROUND(PMT(SYS!$AG$52/12,D$8-6,$M$32),2))+P94),
IF(SYS!$AU$51="3 міс.% далі ануітет",IF(H94&lt;=3,N94,IF(LEN(H95)=0,N94+M94,ROUND(PMT(SYS!$AG$52/12,D$8-3,$M$32),2))+P94),
IF(SYS!$AU$51="4 міс.% далі ануітет",IF(H94&lt;=4,N94,IF(LEN(H95)=0,N94+M94,ROUND(PMT(SYS!$AG$52/12,D$8-4,$M$32),2))+P94))))))</f>
        <v/>
      </c>
      <c r="M94" s="52" t="str">
        <f>IF(LEN(H94)=0,IF(LEN(H93)&gt;0,SUM(M$32:M93)-M$32,""),IF(LEN(H95)=0,SUM(M$32:M93)*-1,L94-N94-P94))</f>
        <v/>
      </c>
      <c r="N94" s="52" t="str">
        <f>IF(LEN(H94)=0,IF(LEN(H93)&gt;0,SUM(N$32:N93),""),ROUND((SUM(M$32:M93)*-1)*SYS!$AG$52/365*КАЛЬКУЛЯТОР!K94,2))</f>
        <v/>
      </c>
      <c r="O94" s="50" t="str">
        <f t="shared" si="12"/>
        <v/>
      </c>
      <c r="P94" s="52" t="str">
        <f>IF(LEN(H94)=0,IF(LEN(H93)&gt;0,SUM(P$32:P93),""),IF(SYS!$AV$51=SYS!$A$2,SUM(КАЛЬКУЛЯТОР!M$32:M93)*-1*$L$10,M$32*-1*L$10))</f>
        <v/>
      </c>
      <c r="Q94" s="53" t="str">
        <f t="shared" si="13"/>
        <v/>
      </c>
      <c r="R94" s="50" t="str">
        <f t="shared" si="14"/>
        <v/>
      </c>
      <c r="S94" s="50" t="str">
        <f t="shared" si="15"/>
        <v/>
      </c>
      <c r="T94" s="50" t="str">
        <f t="shared" si="16"/>
        <v/>
      </c>
      <c r="Y94" s="54" t="str">
        <f t="shared" si="20"/>
        <v/>
      </c>
      <c r="Z94" s="50" t="str">
        <f t="shared" si="21"/>
        <v/>
      </c>
    </row>
    <row r="95" spans="1:26" x14ac:dyDescent="0.2">
      <c r="A95" s="17" t="str">
        <f t="shared" si="2"/>
        <v/>
      </c>
      <c r="B95" s="42" t="str">
        <f t="shared" si="19"/>
        <v/>
      </c>
      <c r="C95" s="17">
        <f t="shared" si="5"/>
        <v>0</v>
      </c>
      <c r="D95" s="17">
        <f t="shared" si="6"/>
        <v>0</v>
      </c>
      <c r="E95" s="17">
        <f t="shared" ca="1" si="7"/>
        <v>2</v>
      </c>
      <c r="F95" s="49">
        <f t="shared" ca="1" si="18"/>
        <v>48114</v>
      </c>
      <c r="G95" s="17">
        <v>63</v>
      </c>
      <c r="H95" s="17" t="str">
        <f t="shared" si="8"/>
        <v/>
      </c>
      <c r="I95" s="50" t="str">
        <f t="shared" si="9"/>
        <v/>
      </c>
      <c r="J95" s="51" t="str">
        <f t="shared" si="10"/>
        <v/>
      </c>
      <c r="K95" s="50" t="str">
        <f t="shared" si="11"/>
        <v/>
      </c>
      <c r="L95" s="52" t="str">
        <f>IF(LEN(H95)=0,IF(LEN(H94)&gt;0,SUM(L$32:L94)-L$32,""),IF(SYS!$AU$51="ануітет",IF(LEN(H96)=0,N95+M95,ROUND(PMT(SYS!$AG$52/12,D$8,$M$32),2))+P95,
IF(SYS!$AU$51="6 міс.% далі ануітет",IF(H95&lt;=6,N95,IF(LEN(H96)=0,N95+M95,ROUND(PMT(SYS!$AG$52/12,D$8-6,$M$32),2))+P95),
IF(SYS!$AU$51="3 міс.% далі ануітет",IF(H95&lt;=3,N95,IF(LEN(H96)=0,N95+M95,ROUND(PMT(SYS!$AG$52/12,D$8-3,$M$32),2))+P95),
IF(SYS!$AU$51="4 міс.% далі ануітет",IF(H95&lt;=4,N95,IF(LEN(H96)=0,N95+M95,ROUND(PMT(SYS!$AG$52/12,D$8-4,$M$32),2))+P95))))))</f>
        <v/>
      </c>
      <c r="M95" s="52" t="str">
        <f>IF(LEN(H95)=0,IF(LEN(H94)&gt;0,SUM(M$32:M94)-M$32,""),IF(LEN(H96)=0,SUM(M$32:M94)*-1,L95-N95-P95))</f>
        <v/>
      </c>
      <c r="N95" s="52" t="str">
        <f>IF(LEN(H95)=0,IF(LEN(H94)&gt;0,SUM(N$32:N94),""),ROUND((SUM(M$32:M94)*-1)*SYS!$AG$52/365*КАЛЬКУЛЯТОР!K95,2))</f>
        <v/>
      </c>
      <c r="O95" s="50" t="str">
        <f t="shared" si="12"/>
        <v/>
      </c>
      <c r="P95" s="52" t="str">
        <f>IF(LEN(H95)=0,IF(LEN(H94)&gt;0,SUM(P$32:P94),""),IF(SYS!$AV$51=SYS!$A$2,SUM(КАЛЬКУЛЯТОР!M$32:M94)*-1*$L$10,M$32*-1*L$10))</f>
        <v/>
      </c>
      <c r="Q95" s="53" t="str">
        <f t="shared" si="13"/>
        <v/>
      </c>
      <c r="R95" s="50" t="str">
        <f t="shared" si="14"/>
        <v/>
      </c>
      <c r="S95" s="50" t="str">
        <f t="shared" si="15"/>
        <v/>
      </c>
      <c r="T95" s="50" t="str">
        <f t="shared" si="16"/>
        <v/>
      </c>
      <c r="Y95" s="54" t="str">
        <f t="shared" si="20"/>
        <v/>
      </c>
      <c r="Z95" s="50" t="str">
        <f t="shared" si="21"/>
        <v/>
      </c>
    </row>
    <row r="96" spans="1:26" x14ac:dyDescent="0.2">
      <c r="A96" s="17" t="str">
        <f t="shared" si="2"/>
        <v/>
      </c>
      <c r="B96" s="42" t="str">
        <f t="shared" si="19"/>
        <v/>
      </c>
      <c r="C96" s="17">
        <f t="shared" si="5"/>
        <v>0</v>
      </c>
      <c r="D96" s="17">
        <f t="shared" si="6"/>
        <v>0</v>
      </c>
      <c r="E96" s="17">
        <f t="shared" ca="1" si="7"/>
        <v>4</v>
      </c>
      <c r="F96" s="49">
        <f t="shared" ca="1" si="18"/>
        <v>48144</v>
      </c>
      <c r="G96" s="17">
        <v>64</v>
      </c>
      <c r="H96" s="17" t="str">
        <f t="shared" si="8"/>
        <v/>
      </c>
      <c r="I96" s="50" t="str">
        <f t="shared" si="9"/>
        <v/>
      </c>
      <c r="J96" s="51" t="str">
        <f t="shared" si="10"/>
        <v/>
      </c>
      <c r="K96" s="50" t="str">
        <f t="shared" si="11"/>
        <v/>
      </c>
      <c r="L96" s="52" t="str">
        <f>IF(LEN(H96)=0,IF(LEN(H95)&gt;0,SUM(L$32:L95)-L$32,""),IF(SYS!$AU$51="ануітет",IF(LEN(H97)=0,N96+M96,ROUND(PMT(SYS!$AG$52/12,D$8,$M$32),2))+P96,
IF(SYS!$AU$51="6 міс.% далі ануітет",IF(H96&lt;=6,N96,IF(LEN(H97)=0,N96+M96,ROUND(PMT(SYS!$AG$52/12,D$8-6,$M$32),2))+P96),
IF(SYS!$AU$51="3 міс.% далі ануітет",IF(H96&lt;=3,N96,IF(LEN(H97)=0,N96+M96,ROUND(PMT(SYS!$AG$52/12,D$8-3,$M$32),2))+P96),
IF(SYS!$AU$51="4 міс.% далі ануітет",IF(H96&lt;=4,N96,IF(LEN(H97)=0,N96+M96,ROUND(PMT(SYS!$AG$52/12,D$8-4,$M$32),2))+P96))))))</f>
        <v/>
      </c>
      <c r="M96" s="52" t="str">
        <f>IF(LEN(H96)=0,IF(LEN(H95)&gt;0,SUM(M$32:M95)-M$32,""),IF(LEN(H97)=0,SUM(M$32:M95)*-1,L96-N96-P96))</f>
        <v/>
      </c>
      <c r="N96" s="52" t="str">
        <f>IF(LEN(H96)=0,IF(LEN(H95)&gt;0,SUM(N$32:N95),""),ROUND((SUM(M$32:M95)*-1)*SYS!$AG$52/365*КАЛЬКУЛЯТОР!K96,2))</f>
        <v/>
      </c>
      <c r="O96" s="50" t="str">
        <f t="shared" si="12"/>
        <v/>
      </c>
      <c r="P96" s="52" t="str">
        <f>IF(LEN(H96)=0,IF(LEN(H95)&gt;0,SUM(P$32:P95),""),IF(SYS!$AV$51=SYS!$A$2,SUM(КАЛЬКУЛЯТОР!M$32:M95)*-1*$L$10,M$32*-1*L$10))</f>
        <v/>
      </c>
      <c r="Q96" s="53" t="str">
        <f t="shared" si="13"/>
        <v/>
      </c>
      <c r="R96" s="50" t="str">
        <f t="shared" si="14"/>
        <v/>
      </c>
      <c r="S96" s="50" t="str">
        <f t="shared" si="15"/>
        <v/>
      </c>
      <c r="T96" s="50" t="str">
        <f t="shared" si="16"/>
        <v/>
      </c>
      <c r="Y96" s="54" t="str">
        <f t="shared" si="20"/>
        <v/>
      </c>
      <c r="Z96" s="50" t="str">
        <f t="shared" si="21"/>
        <v/>
      </c>
    </row>
    <row r="97" spans="1:26" x14ac:dyDescent="0.2">
      <c r="A97" s="17" t="str">
        <f t="shared" ref="A97:A152" si="22">IF(B97=1,0,L97)</f>
        <v/>
      </c>
      <c r="B97" s="42" t="str">
        <f t="shared" si="19"/>
        <v/>
      </c>
      <c r="C97" s="17">
        <f t="shared" si="5"/>
        <v>0</v>
      </c>
      <c r="D97" s="17">
        <f t="shared" si="6"/>
        <v>0</v>
      </c>
      <c r="E97" s="17">
        <f t="shared" ca="1" si="7"/>
        <v>7</v>
      </c>
      <c r="F97" s="49">
        <f t="shared" ca="1" si="18"/>
        <v>48175</v>
      </c>
      <c r="G97" s="17">
        <v>65</v>
      </c>
      <c r="H97" s="17" t="str">
        <f t="shared" si="8"/>
        <v/>
      </c>
      <c r="I97" s="50" t="str">
        <f t="shared" si="9"/>
        <v/>
      </c>
      <c r="J97" s="51" t="str">
        <f t="shared" si="10"/>
        <v/>
      </c>
      <c r="K97" s="50" t="str">
        <f t="shared" si="11"/>
        <v/>
      </c>
      <c r="L97" s="52" t="str">
        <f>IF(LEN(H97)=0,IF(LEN(H96)&gt;0,SUM(L$32:L96)-L$32,""),IF(SYS!$AU$51="ануітет",IF(LEN(H98)=0,N97+M97,ROUND(PMT(SYS!$AG$52/12,D$8,$M$32),2))+P97,
IF(SYS!$AU$51="6 міс.% далі ануітет",IF(H97&lt;=6,N97,IF(LEN(H98)=0,N97+M97,ROUND(PMT(SYS!$AG$52/12,D$8-6,$M$32),2))+P97),
IF(SYS!$AU$51="3 міс.% далі ануітет",IF(H97&lt;=3,N97,IF(LEN(H98)=0,N97+M97,ROUND(PMT(SYS!$AG$52/12,D$8-3,$M$32),2))+P97),
IF(SYS!$AU$51="4 міс.% далі ануітет",IF(H97&lt;=4,N97,IF(LEN(H98)=0,N97+M97,ROUND(PMT(SYS!$AG$52/12,D$8-4,$M$32),2))+P97))))))</f>
        <v/>
      </c>
      <c r="M97" s="52" t="str">
        <f>IF(LEN(H97)=0,IF(LEN(H96)&gt;0,SUM(M$32:M96)-M$32,""),IF(LEN(H98)=0,SUM(M$32:M96)*-1,L97-N97-P97))</f>
        <v/>
      </c>
      <c r="N97" s="52" t="str">
        <f>IF(LEN(H97)=0,IF(LEN(H96)&gt;0,SUM(N$32:N96),""),ROUND((SUM(M$32:M96)*-1)*SYS!$AG$52/365*КАЛЬКУЛЯТОР!K97,2))</f>
        <v/>
      </c>
      <c r="O97" s="50" t="str">
        <f t="shared" si="12"/>
        <v/>
      </c>
      <c r="P97" s="52" t="str">
        <f>IF(LEN(H97)=0,IF(LEN(H96)&gt;0,SUM(P$32:P96),""),IF(SYS!$AV$51=SYS!$A$2,SUM(КАЛЬКУЛЯТОР!M$32:M96)*-1*$L$10,M$32*-1*L$10))</f>
        <v/>
      </c>
      <c r="Q97" s="53" t="str">
        <f t="shared" si="13"/>
        <v/>
      </c>
      <c r="R97" s="50" t="str">
        <f t="shared" si="14"/>
        <v/>
      </c>
      <c r="S97" s="50" t="str">
        <f t="shared" si="15"/>
        <v/>
      </c>
      <c r="T97" s="50" t="str">
        <f t="shared" si="16"/>
        <v/>
      </c>
      <c r="Y97" s="54" t="str">
        <f t="shared" si="20"/>
        <v/>
      </c>
      <c r="Z97" s="50" t="str">
        <f t="shared" ref="Z97:Z128" si="23">IF(LEN(H97)=0,IF(LEN(H96)&gt;0,$L$23,""),"Х")</f>
        <v/>
      </c>
    </row>
    <row r="98" spans="1:26" x14ac:dyDescent="0.2">
      <c r="A98" s="17" t="str">
        <f t="shared" si="22"/>
        <v/>
      </c>
      <c r="B98" s="42" t="str">
        <f t="shared" si="19"/>
        <v/>
      </c>
      <c r="C98" s="17">
        <f t="shared" ref="C98:C152" si="24">IF(LEN(H98)=0,0,J98)</f>
        <v>0</v>
      </c>
      <c r="D98" s="17">
        <f t="shared" ref="D98:D152" si="25">IF(LEN(H98)=0,0,L98)</f>
        <v>0</v>
      </c>
      <c r="E98" s="17">
        <f t="shared" ref="E98:E152" ca="1" si="26">WEEKDAY(F98,2)</f>
        <v>2</v>
      </c>
      <c r="F98" s="49">
        <f t="shared" ca="1" si="18"/>
        <v>48205</v>
      </c>
      <c r="G98" s="17">
        <v>66</v>
      </c>
      <c r="H98" s="17" t="str">
        <f t="shared" ref="H98:H152" si="27">IF($L$8&gt;=G98,G98,"")</f>
        <v/>
      </c>
      <c r="I98" s="50" t="str">
        <f t="shared" ref="I98:I152" si="28">IF(LEN(H98)=0,"",I97+1)</f>
        <v/>
      </c>
      <c r="J98" s="51" t="str">
        <f t="shared" ref="J98:J152" si="29">IF(LEN(H98)=0,IF(LEN(H97)&gt;0,"РАЗОМ:",""),IF(E98=6,F98+2,IF(E98=7,F98+1,F98)))</f>
        <v/>
      </c>
      <c r="K98" s="50" t="str">
        <f t="shared" ref="K98:K152" si="30">IF(LEN(H98)=0,"",J98-J97)</f>
        <v/>
      </c>
      <c r="L98" s="52" t="str">
        <f>IF(LEN(H98)=0,IF(LEN(H97)&gt;0,SUM(L$32:L97)-L$32,""),IF(SYS!$AU$51="ануітет",IF(LEN(H99)=0,N98+M98,ROUND(PMT(SYS!$AG$52/12,D$8,$M$32),2))+P98,
IF(SYS!$AU$51="6 міс.% далі ануітет",IF(H98&lt;=6,N98,IF(LEN(H99)=0,N98+M98,ROUND(PMT(SYS!$AG$52/12,D$8-6,$M$32),2))+P98),
IF(SYS!$AU$51="3 міс.% далі ануітет",IF(H98&lt;=3,N98,IF(LEN(H99)=0,N98+M98,ROUND(PMT(SYS!$AG$52/12,D$8-3,$M$32),2))+P98),
IF(SYS!$AU$51="4 міс.% далі ануітет",IF(H98&lt;=4,N98,IF(LEN(H99)=0,N98+M98,ROUND(PMT(SYS!$AG$52/12,D$8-4,$M$32),2))+P98))))))</f>
        <v/>
      </c>
      <c r="M98" s="52" t="str">
        <f>IF(LEN(H98)=0,IF(LEN(H97)&gt;0,SUM(M$32:M97)-M$32,""),IF(LEN(H99)=0,SUM(M$32:M97)*-1,L98-N98-P98))</f>
        <v/>
      </c>
      <c r="N98" s="52" t="str">
        <f>IF(LEN(H98)=0,IF(LEN(H97)&gt;0,SUM(N$32:N97),""),ROUND((SUM(M$32:M97)*-1)*SYS!$AG$52/365*КАЛЬКУЛЯТОР!K98,2))</f>
        <v/>
      </c>
      <c r="O98" s="50" t="str">
        <f t="shared" ref="O98:O152" si="31">IF(LEN(H98)=0,"","Х")</f>
        <v/>
      </c>
      <c r="P98" s="52" t="str">
        <f>IF(LEN(H98)=0,IF(LEN(H97)&gt;0,SUM(P$32:P97),""),IF(SYS!$AV$51=SYS!$A$2,SUM(КАЛЬКУЛЯТОР!M$32:M97)*-1*$L$10,M$32*-1*L$10))</f>
        <v/>
      </c>
      <c r="Q98" s="53" t="str">
        <f t="shared" ref="Q98:Q152" si="32">IF(LEN(H98)=0,"","Х")</f>
        <v/>
      </c>
      <c r="R98" s="50" t="str">
        <f t="shared" ref="R98:R152" si="33">IF(LEN(H98)=0,"","Х")</f>
        <v/>
      </c>
      <c r="S98" s="50" t="str">
        <f t="shared" ref="S98:S152" si="34">IF(LEN(H98)=0,"","Х")</f>
        <v/>
      </c>
      <c r="T98" s="50" t="str">
        <f t="shared" ref="T98:T152" si="35">IF(LEN(H98)=0,"","Х")</f>
        <v/>
      </c>
      <c r="Y98" s="54" t="str">
        <f t="shared" si="20"/>
        <v/>
      </c>
      <c r="Z98" s="50" t="str">
        <f t="shared" si="23"/>
        <v/>
      </c>
    </row>
    <row r="99" spans="1:26" x14ac:dyDescent="0.2">
      <c r="A99" s="17" t="str">
        <f t="shared" si="22"/>
        <v/>
      </c>
      <c r="B99" s="42" t="str">
        <f t="shared" si="19"/>
        <v/>
      </c>
      <c r="C99" s="17">
        <f t="shared" si="24"/>
        <v>0</v>
      </c>
      <c r="D99" s="17">
        <f t="shared" si="25"/>
        <v>0</v>
      </c>
      <c r="E99" s="17">
        <f t="shared" ca="1" si="26"/>
        <v>5</v>
      </c>
      <c r="F99" s="49">
        <f t="shared" ref="F99:F152" ca="1" si="36">DATE(YEAR(F98),MONTH(F98)+1,DAY(F98))</f>
        <v>48236</v>
      </c>
      <c r="G99" s="17">
        <v>67</v>
      </c>
      <c r="H99" s="17" t="str">
        <f t="shared" si="27"/>
        <v/>
      </c>
      <c r="I99" s="50" t="str">
        <f t="shared" si="28"/>
        <v/>
      </c>
      <c r="J99" s="51" t="str">
        <f t="shared" si="29"/>
        <v/>
      </c>
      <c r="K99" s="50" t="str">
        <f t="shared" si="30"/>
        <v/>
      </c>
      <c r="L99" s="52" t="str">
        <f>IF(LEN(H99)=0,IF(LEN(H98)&gt;0,SUM(L$32:L98)-L$32,""),IF(SYS!$AU$51="ануітет",IF(LEN(H100)=0,N99+M99,ROUND(PMT(SYS!$AG$52/12,D$8,$M$32),2))+P99,
IF(SYS!$AU$51="6 міс.% далі ануітет",IF(H99&lt;=6,N99,IF(LEN(H100)=0,N99+M99,ROUND(PMT(SYS!$AG$52/12,D$8-6,$M$32),2))+P99),
IF(SYS!$AU$51="3 міс.% далі ануітет",IF(H99&lt;=3,N99,IF(LEN(H100)=0,N99+M99,ROUND(PMT(SYS!$AG$52/12,D$8-3,$M$32),2))+P99),
IF(SYS!$AU$51="4 міс.% далі ануітет",IF(H99&lt;=4,N99,IF(LEN(H100)=0,N99+M99,ROUND(PMT(SYS!$AG$52/12,D$8-4,$M$32),2))+P99))))))</f>
        <v/>
      </c>
      <c r="M99" s="52" t="str">
        <f>IF(LEN(H99)=0,IF(LEN(H98)&gt;0,SUM(M$32:M98)-M$32,""),IF(LEN(H100)=0,SUM(M$32:M98)*-1,L99-N99-P99))</f>
        <v/>
      </c>
      <c r="N99" s="52" t="str">
        <f>IF(LEN(H99)=0,IF(LEN(H98)&gt;0,SUM(N$32:N98),""),ROUND((SUM(M$32:M98)*-1)*SYS!$AG$52/365*КАЛЬКУЛЯТОР!K99,2))</f>
        <v/>
      </c>
      <c r="O99" s="50" t="str">
        <f t="shared" si="31"/>
        <v/>
      </c>
      <c r="P99" s="52" t="str">
        <f>IF(LEN(H99)=0,IF(LEN(H98)&gt;0,SUM(P$32:P98),""),IF(SYS!$AV$51=SYS!$A$2,SUM(КАЛЬКУЛЯТОР!M$32:M98)*-1*$L$10,M$32*-1*L$10))</f>
        <v/>
      </c>
      <c r="Q99" s="53" t="str">
        <f t="shared" si="32"/>
        <v/>
      </c>
      <c r="R99" s="50" t="str">
        <f t="shared" si="33"/>
        <v/>
      </c>
      <c r="S99" s="50" t="str">
        <f t="shared" si="34"/>
        <v/>
      </c>
      <c r="T99" s="50" t="str">
        <f t="shared" si="35"/>
        <v/>
      </c>
      <c r="Y99" s="54" t="str">
        <f t="shared" si="20"/>
        <v/>
      </c>
      <c r="Z99" s="50" t="str">
        <f t="shared" si="23"/>
        <v/>
      </c>
    </row>
    <row r="100" spans="1:26" x14ac:dyDescent="0.2">
      <c r="A100" s="17" t="str">
        <f t="shared" si="22"/>
        <v/>
      </c>
      <c r="B100" s="42" t="str">
        <f t="shared" si="19"/>
        <v/>
      </c>
      <c r="C100" s="17">
        <f t="shared" si="24"/>
        <v>0</v>
      </c>
      <c r="D100" s="17">
        <f t="shared" si="25"/>
        <v>0</v>
      </c>
      <c r="E100" s="17">
        <f t="shared" ca="1" si="26"/>
        <v>1</v>
      </c>
      <c r="F100" s="49">
        <f t="shared" ca="1" si="36"/>
        <v>48267</v>
      </c>
      <c r="G100" s="17">
        <v>68</v>
      </c>
      <c r="H100" s="17" t="str">
        <f t="shared" si="27"/>
        <v/>
      </c>
      <c r="I100" s="50" t="str">
        <f t="shared" si="28"/>
        <v/>
      </c>
      <c r="J100" s="51" t="str">
        <f t="shared" si="29"/>
        <v/>
      </c>
      <c r="K100" s="50" t="str">
        <f t="shared" si="30"/>
        <v/>
      </c>
      <c r="L100" s="52" t="str">
        <f>IF(LEN(H100)=0,IF(LEN(H99)&gt;0,SUM(L$32:L99)-L$32,""),IF(SYS!$AU$51="ануітет",IF(LEN(H101)=0,N100+M100,ROUND(PMT(SYS!$AG$52/12,D$8,$M$32),2))+P100,
IF(SYS!$AU$51="6 міс.% далі ануітет",IF(H100&lt;=6,N100,IF(LEN(H101)=0,N100+M100,ROUND(PMT(SYS!$AG$52/12,D$8-6,$M$32),2))+P100),
IF(SYS!$AU$51="3 міс.% далі ануітет",IF(H100&lt;=3,N100,IF(LEN(H101)=0,N100+M100,ROUND(PMT(SYS!$AG$52/12,D$8-3,$M$32),2))+P100),
IF(SYS!$AU$51="4 міс.% далі ануітет",IF(H100&lt;=4,N100,IF(LEN(H101)=0,N100+M100,ROUND(PMT(SYS!$AG$52/12,D$8-4,$M$32),2))+P100))))))</f>
        <v/>
      </c>
      <c r="M100" s="52" t="str">
        <f>IF(LEN(H100)=0,IF(LEN(H99)&gt;0,SUM(M$32:M99)-M$32,""),IF(LEN(H101)=0,SUM(M$32:M99)*-1,L100-N100-P100))</f>
        <v/>
      </c>
      <c r="N100" s="52" t="str">
        <f>IF(LEN(H100)=0,IF(LEN(H99)&gt;0,SUM(N$32:N99),""),ROUND((SUM(M$32:M99)*-1)*SYS!$AG$52/365*КАЛЬКУЛЯТОР!K100,2))</f>
        <v/>
      </c>
      <c r="O100" s="50" t="str">
        <f t="shared" si="31"/>
        <v/>
      </c>
      <c r="P100" s="52" t="str">
        <f>IF(LEN(H100)=0,IF(LEN(H99)&gt;0,SUM(P$32:P99),""),IF(SYS!$AV$51=SYS!$A$2,SUM(КАЛЬКУЛЯТОР!M$32:M99)*-1*$L$10,M$32*-1*L$10))</f>
        <v/>
      </c>
      <c r="Q100" s="53" t="str">
        <f t="shared" si="32"/>
        <v/>
      </c>
      <c r="R100" s="50" t="str">
        <f t="shared" si="33"/>
        <v/>
      </c>
      <c r="S100" s="50" t="str">
        <f t="shared" si="34"/>
        <v/>
      </c>
      <c r="T100" s="50" t="str">
        <f t="shared" si="35"/>
        <v/>
      </c>
      <c r="Y100" s="54" t="str">
        <f t="shared" si="20"/>
        <v/>
      </c>
      <c r="Z100" s="50" t="str">
        <f t="shared" si="23"/>
        <v/>
      </c>
    </row>
    <row r="101" spans="1:26" x14ac:dyDescent="0.2">
      <c r="A101" s="17" t="str">
        <f t="shared" si="22"/>
        <v/>
      </c>
      <c r="B101" s="42" t="str">
        <f t="shared" si="19"/>
        <v/>
      </c>
      <c r="C101" s="17">
        <f t="shared" si="24"/>
        <v>0</v>
      </c>
      <c r="D101" s="17">
        <f t="shared" si="25"/>
        <v>0</v>
      </c>
      <c r="E101" s="17">
        <f t="shared" ca="1" si="26"/>
        <v>2</v>
      </c>
      <c r="F101" s="49">
        <f t="shared" ca="1" si="36"/>
        <v>48296</v>
      </c>
      <c r="G101" s="17">
        <v>69</v>
      </c>
      <c r="H101" s="17" t="str">
        <f t="shared" si="27"/>
        <v/>
      </c>
      <c r="I101" s="50" t="str">
        <f t="shared" si="28"/>
        <v/>
      </c>
      <c r="J101" s="51" t="str">
        <f t="shared" si="29"/>
        <v/>
      </c>
      <c r="K101" s="50" t="str">
        <f t="shared" si="30"/>
        <v/>
      </c>
      <c r="L101" s="52" t="str">
        <f>IF(LEN(H101)=0,IF(LEN(H100)&gt;0,SUM(L$32:L100)-L$32,""),IF(SYS!$AU$51="ануітет",IF(LEN(H102)=0,N101+M101,ROUND(PMT(SYS!$AG$52/12,D$8,$M$32),2))+P101,
IF(SYS!$AU$51="6 міс.% далі ануітет",IF(H101&lt;=6,N101,IF(LEN(H102)=0,N101+M101,ROUND(PMT(SYS!$AG$52/12,D$8-6,$M$32),2))+P101),
IF(SYS!$AU$51="3 міс.% далі ануітет",IF(H101&lt;=3,N101,IF(LEN(H102)=0,N101+M101,ROUND(PMT(SYS!$AG$52/12,D$8-3,$M$32),2))+P101),
IF(SYS!$AU$51="4 міс.% далі ануітет",IF(H101&lt;=4,N101,IF(LEN(H102)=0,N101+M101,ROUND(PMT(SYS!$AG$52/12,D$8-4,$M$32),2))+P101))))))</f>
        <v/>
      </c>
      <c r="M101" s="52" t="str">
        <f>IF(LEN(H101)=0,IF(LEN(H100)&gt;0,SUM(M$32:M100)-M$32,""),IF(LEN(H102)=0,SUM(M$32:M100)*-1,L101-N101-P101))</f>
        <v/>
      </c>
      <c r="N101" s="52" t="str">
        <f>IF(LEN(H101)=0,IF(LEN(H100)&gt;0,SUM(N$32:N100),""),ROUND((SUM(M$32:M100)*-1)*SYS!$AG$52/365*КАЛЬКУЛЯТОР!K101,2))</f>
        <v/>
      </c>
      <c r="O101" s="50" t="str">
        <f t="shared" si="31"/>
        <v/>
      </c>
      <c r="P101" s="52" t="str">
        <f>IF(LEN(H101)=0,IF(LEN(H100)&gt;0,SUM(P$32:P100),""),IF(SYS!$AV$51=SYS!$A$2,SUM(КАЛЬКУЛЯТОР!M$32:M100)*-1*$L$10,M$32*-1*L$10))</f>
        <v/>
      </c>
      <c r="Q101" s="53" t="str">
        <f t="shared" si="32"/>
        <v/>
      </c>
      <c r="R101" s="50" t="str">
        <f t="shared" si="33"/>
        <v/>
      </c>
      <c r="S101" s="50" t="str">
        <f t="shared" si="34"/>
        <v/>
      </c>
      <c r="T101" s="50" t="str">
        <f t="shared" si="35"/>
        <v/>
      </c>
      <c r="Y101" s="54" t="str">
        <f t="shared" si="20"/>
        <v/>
      </c>
      <c r="Z101" s="50" t="str">
        <f t="shared" si="23"/>
        <v/>
      </c>
    </row>
    <row r="102" spans="1:26" x14ac:dyDescent="0.2">
      <c r="A102" s="17" t="str">
        <f t="shared" si="22"/>
        <v/>
      </c>
      <c r="B102" s="42" t="str">
        <f t="shared" si="19"/>
        <v/>
      </c>
      <c r="C102" s="17">
        <f t="shared" si="24"/>
        <v>0</v>
      </c>
      <c r="D102" s="17">
        <f t="shared" si="25"/>
        <v>0</v>
      </c>
      <c r="E102" s="17">
        <f t="shared" ca="1" si="26"/>
        <v>5</v>
      </c>
      <c r="F102" s="49">
        <f t="shared" ca="1" si="36"/>
        <v>48327</v>
      </c>
      <c r="G102" s="17">
        <v>70</v>
      </c>
      <c r="H102" s="17" t="str">
        <f t="shared" si="27"/>
        <v/>
      </c>
      <c r="I102" s="50" t="str">
        <f t="shared" si="28"/>
        <v/>
      </c>
      <c r="J102" s="51" t="str">
        <f t="shared" si="29"/>
        <v/>
      </c>
      <c r="K102" s="50" t="str">
        <f t="shared" si="30"/>
        <v/>
      </c>
      <c r="L102" s="52" t="str">
        <f>IF(LEN(H102)=0,IF(LEN(H101)&gt;0,SUM(L$32:L101)-L$32,""),IF(SYS!$AU$51="ануітет",IF(LEN(H103)=0,N102+M102,ROUND(PMT(SYS!$AG$52/12,D$8,$M$32),2))+P102,
IF(SYS!$AU$51="6 міс.% далі ануітет",IF(H102&lt;=6,N102,IF(LEN(H103)=0,N102+M102,ROUND(PMT(SYS!$AG$52/12,D$8-6,$M$32),2))+P102),
IF(SYS!$AU$51="3 міс.% далі ануітет",IF(H102&lt;=3,N102,IF(LEN(H103)=0,N102+M102,ROUND(PMT(SYS!$AG$52/12,D$8-3,$M$32),2))+P102),
IF(SYS!$AU$51="4 міс.% далі ануітет",IF(H102&lt;=4,N102,IF(LEN(H103)=0,N102+M102,ROUND(PMT(SYS!$AG$52/12,D$8-4,$M$32),2))+P102))))))</f>
        <v/>
      </c>
      <c r="M102" s="52" t="str">
        <f>IF(LEN(H102)=0,IF(LEN(H101)&gt;0,SUM(M$32:M101)-M$32,""),IF(LEN(H103)=0,SUM(M$32:M101)*-1,L102-N102-P102))</f>
        <v/>
      </c>
      <c r="N102" s="52" t="str">
        <f>IF(LEN(H102)=0,IF(LEN(H101)&gt;0,SUM(N$32:N101),""),ROUND((SUM(M$32:M101)*-1)*SYS!$AG$52/365*КАЛЬКУЛЯТОР!K102,2))</f>
        <v/>
      </c>
      <c r="O102" s="50" t="str">
        <f t="shared" si="31"/>
        <v/>
      </c>
      <c r="P102" s="52" t="str">
        <f>IF(LEN(H102)=0,IF(LEN(H101)&gt;0,SUM(P$32:P101),""),IF(SYS!$AV$51=SYS!$A$2,SUM(КАЛЬКУЛЯТОР!M$32:M101)*-1*$L$10,M$32*-1*L$10))</f>
        <v/>
      </c>
      <c r="Q102" s="53" t="str">
        <f t="shared" si="32"/>
        <v/>
      </c>
      <c r="R102" s="50" t="str">
        <f t="shared" si="33"/>
        <v/>
      </c>
      <c r="S102" s="50" t="str">
        <f t="shared" si="34"/>
        <v/>
      </c>
      <c r="T102" s="50" t="str">
        <f t="shared" si="35"/>
        <v/>
      </c>
      <c r="Y102" s="54" t="str">
        <f t="shared" si="20"/>
        <v/>
      </c>
      <c r="Z102" s="50" t="str">
        <f t="shared" si="23"/>
        <v/>
      </c>
    </row>
    <row r="103" spans="1:26" x14ac:dyDescent="0.2">
      <c r="A103" s="17" t="str">
        <f t="shared" si="22"/>
        <v/>
      </c>
      <c r="B103" s="42" t="str">
        <f t="shared" si="19"/>
        <v/>
      </c>
      <c r="C103" s="17">
        <f t="shared" si="24"/>
        <v>0</v>
      </c>
      <c r="D103" s="17">
        <f t="shared" si="25"/>
        <v>0</v>
      </c>
      <c r="E103" s="17">
        <f t="shared" ca="1" si="26"/>
        <v>7</v>
      </c>
      <c r="F103" s="49">
        <f t="shared" ca="1" si="36"/>
        <v>48357</v>
      </c>
      <c r="G103" s="17">
        <v>71</v>
      </c>
      <c r="H103" s="17" t="str">
        <f t="shared" si="27"/>
        <v/>
      </c>
      <c r="I103" s="50" t="str">
        <f t="shared" si="28"/>
        <v/>
      </c>
      <c r="J103" s="51" t="str">
        <f t="shared" si="29"/>
        <v/>
      </c>
      <c r="K103" s="50" t="str">
        <f t="shared" si="30"/>
        <v/>
      </c>
      <c r="L103" s="52" t="str">
        <f>IF(LEN(H103)=0,IF(LEN(H102)&gt;0,SUM(L$32:L102)-L$32,""),IF(SYS!$AU$51="ануітет",IF(LEN(H104)=0,N103+M103,ROUND(PMT(SYS!$AG$52/12,D$8,$M$32),2))+P103,
IF(SYS!$AU$51="6 міс.% далі ануітет",IF(H103&lt;=6,N103,IF(LEN(H104)=0,N103+M103,ROUND(PMT(SYS!$AG$52/12,D$8-6,$M$32),2))+P103),
IF(SYS!$AU$51="3 міс.% далі ануітет",IF(H103&lt;=3,N103,IF(LEN(H104)=0,N103+M103,ROUND(PMT(SYS!$AG$52/12,D$8-3,$M$32),2))+P103),
IF(SYS!$AU$51="4 міс.% далі ануітет",IF(H103&lt;=4,N103,IF(LEN(H104)=0,N103+M103,ROUND(PMT(SYS!$AG$52/12,D$8-4,$M$32),2))+P103))))))</f>
        <v/>
      </c>
      <c r="M103" s="52" t="str">
        <f>IF(LEN(H103)=0,IF(LEN(H102)&gt;0,SUM(M$32:M102)-M$32,""),IF(LEN(H104)=0,SUM(M$32:M102)*-1,L103-N103-P103))</f>
        <v/>
      </c>
      <c r="N103" s="52" t="str">
        <f>IF(LEN(H103)=0,IF(LEN(H102)&gt;0,SUM(N$32:N102),""),ROUND((SUM(M$32:M102)*-1)*SYS!$AG$52/365*КАЛЬКУЛЯТОР!K103,2))</f>
        <v/>
      </c>
      <c r="O103" s="50" t="str">
        <f t="shared" si="31"/>
        <v/>
      </c>
      <c r="P103" s="52" t="str">
        <f>IF(LEN(H103)=0,IF(LEN(H102)&gt;0,SUM(P$32:P102),""),IF(SYS!$AV$51=SYS!$A$2,SUM(КАЛЬКУЛЯТОР!M$32:M102)*-1*$L$10,M$32*-1*L$10))</f>
        <v/>
      </c>
      <c r="Q103" s="53" t="str">
        <f t="shared" si="32"/>
        <v/>
      </c>
      <c r="R103" s="50" t="str">
        <f t="shared" si="33"/>
        <v/>
      </c>
      <c r="S103" s="50" t="str">
        <f t="shared" si="34"/>
        <v/>
      </c>
      <c r="T103" s="50" t="str">
        <f t="shared" si="35"/>
        <v/>
      </c>
      <c r="Y103" s="54" t="str">
        <f t="shared" si="20"/>
        <v/>
      </c>
      <c r="Z103" s="50" t="str">
        <f t="shared" si="23"/>
        <v/>
      </c>
    </row>
    <row r="104" spans="1:26" x14ac:dyDescent="0.2">
      <c r="A104" s="17" t="str">
        <f t="shared" si="22"/>
        <v/>
      </c>
      <c r="B104" s="42" t="str">
        <f t="shared" si="19"/>
        <v/>
      </c>
      <c r="C104" s="17">
        <f t="shared" si="24"/>
        <v>0</v>
      </c>
      <c r="D104" s="17">
        <f t="shared" si="25"/>
        <v>0</v>
      </c>
      <c r="E104" s="17">
        <f t="shared" ca="1" si="26"/>
        <v>3</v>
      </c>
      <c r="F104" s="49">
        <f t="shared" ca="1" si="36"/>
        <v>48388</v>
      </c>
      <c r="G104" s="17">
        <v>72</v>
      </c>
      <c r="H104" s="17" t="str">
        <f t="shared" si="27"/>
        <v/>
      </c>
      <c r="I104" s="50" t="str">
        <f t="shared" si="28"/>
        <v/>
      </c>
      <c r="J104" s="51" t="str">
        <f t="shared" si="29"/>
        <v/>
      </c>
      <c r="K104" s="50" t="str">
        <f t="shared" si="30"/>
        <v/>
      </c>
      <c r="L104" s="52" t="str">
        <f>IF(LEN(H104)=0,IF(LEN(H103)&gt;0,SUM(L$32:L103)-L$32,""),IF(SYS!$AU$51="ануітет",IF(LEN(H105)=0,N104+M104,ROUND(PMT(SYS!$AG$52/12,D$8,$M$32),2))+P104,
IF(SYS!$AU$51="6 міс.% далі ануітет",IF(H104&lt;=6,N104,IF(LEN(H105)=0,N104+M104,ROUND(PMT(SYS!$AG$52/12,D$8-6,$M$32),2))+P104),
IF(SYS!$AU$51="3 міс.% далі ануітет",IF(H104&lt;=3,N104,IF(LEN(H105)=0,N104+M104,ROUND(PMT(SYS!$AG$52/12,D$8-3,$M$32),2))+P104),
IF(SYS!$AU$51="4 міс.% далі ануітет",IF(H104&lt;=4,N104,IF(LEN(H105)=0,N104+M104,ROUND(PMT(SYS!$AG$52/12,D$8-4,$M$32),2))+P104))))))</f>
        <v/>
      </c>
      <c r="M104" s="52" t="str">
        <f>IF(LEN(H104)=0,IF(LEN(H103)&gt;0,SUM(M$32:M103)-M$32,""),IF(LEN(H105)=0,SUM(M$32:M103)*-1,L104-N104-P104))</f>
        <v/>
      </c>
      <c r="N104" s="52" t="str">
        <f>IF(LEN(H104)=0,IF(LEN(H103)&gt;0,SUM(N$32:N103),""),ROUND((SUM(M$32:M103)*-1)*SYS!$AG$52/365*КАЛЬКУЛЯТОР!K104,2))</f>
        <v/>
      </c>
      <c r="O104" s="50" t="str">
        <f t="shared" si="31"/>
        <v/>
      </c>
      <c r="P104" s="52" t="str">
        <f>IF(LEN(H104)=0,IF(LEN(H103)&gt;0,SUM(P$32:P103),""),IF(SYS!$AV$51=SYS!$A$2,SUM(КАЛЬКУЛЯТОР!M$32:M103)*-1*$L$10,M$32*-1*L$10))</f>
        <v/>
      </c>
      <c r="Q104" s="53" t="str">
        <f t="shared" si="32"/>
        <v/>
      </c>
      <c r="R104" s="50" t="str">
        <f t="shared" si="33"/>
        <v/>
      </c>
      <c r="S104" s="50" t="str">
        <f t="shared" si="34"/>
        <v/>
      </c>
      <c r="T104" s="50" t="str">
        <f t="shared" si="35"/>
        <v/>
      </c>
      <c r="Y104" s="54" t="str">
        <f t="shared" si="20"/>
        <v/>
      </c>
      <c r="Z104" s="50" t="str">
        <f t="shared" si="23"/>
        <v/>
      </c>
    </row>
    <row r="105" spans="1:26" x14ac:dyDescent="0.2">
      <c r="A105" s="17" t="str">
        <f t="shared" si="22"/>
        <v/>
      </c>
      <c r="B105" s="42" t="str">
        <f t="shared" si="19"/>
        <v/>
      </c>
      <c r="C105" s="17">
        <f t="shared" si="24"/>
        <v>0</v>
      </c>
      <c r="D105" s="17">
        <f t="shared" si="25"/>
        <v>0</v>
      </c>
      <c r="E105" s="17">
        <f t="shared" ca="1" si="26"/>
        <v>5</v>
      </c>
      <c r="F105" s="49">
        <f t="shared" ca="1" si="36"/>
        <v>48418</v>
      </c>
      <c r="G105" s="17">
        <v>73</v>
      </c>
      <c r="H105" s="17" t="str">
        <f t="shared" si="27"/>
        <v/>
      </c>
      <c r="I105" s="50" t="str">
        <f t="shared" si="28"/>
        <v/>
      </c>
      <c r="J105" s="51" t="str">
        <f t="shared" si="29"/>
        <v/>
      </c>
      <c r="K105" s="50" t="str">
        <f t="shared" si="30"/>
        <v/>
      </c>
      <c r="L105" s="52" t="str">
        <f>IF(LEN(H105)=0,IF(LEN(H104)&gt;0,SUM(L$32:L104)-L$32,""),IF(SYS!$AU$51="ануітет",IF(LEN(H106)=0,N105+M105,ROUND(PMT(SYS!$AG$52/12,D$8,$M$32),2))+P105,
IF(SYS!$AU$51="6 міс.% далі ануітет",IF(H105&lt;=6,N105,IF(LEN(H106)=0,N105+M105,ROUND(PMT(SYS!$AG$52/12,D$8-6,$M$32),2))+P105),
IF(SYS!$AU$51="3 міс.% далі ануітет",IF(H105&lt;=3,N105,IF(LEN(H106)=0,N105+M105,ROUND(PMT(SYS!$AG$52/12,D$8-3,$M$32),2))+P105),
IF(SYS!$AU$51="4 міс.% далі ануітет",IF(H105&lt;=4,N105,IF(LEN(H106)=0,N105+M105,ROUND(PMT(SYS!$AG$52/12,D$8-4,$M$32),2))+P105))))))</f>
        <v/>
      </c>
      <c r="M105" s="52" t="str">
        <f>IF(LEN(H105)=0,IF(LEN(H104)&gt;0,SUM(M$32:M104)-M$32,""),IF(LEN(H106)=0,SUM(M$32:M104)*-1,L105-N105-P105))</f>
        <v/>
      </c>
      <c r="N105" s="52" t="str">
        <f>IF(LEN(H105)=0,IF(LEN(H104)&gt;0,SUM(N$32:N104),""),ROUND((SUM(M$32:M104)*-1)*SYS!$AG$52/365*КАЛЬКУЛЯТОР!K105,2))</f>
        <v/>
      </c>
      <c r="O105" s="50" t="str">
        <f t="shared" si="31"/>
        <v/>
      </c>
      <c r="P105" s="52" t="str">
        <f>IF(LEN(H105)=0,IF(LEN(H104)&gt;0,SUM(P$32:P104),""),IF(SYS!$AV$51=SYS!$A$2,SUM(КАЛЬКУЛЯТОР!M$32:M104)*-1*$L$10,M$32*-1*L$10))</f>
        <v/>
      </c>
      <c r="Q105" s="53" t="str">
        <f t="shared" si="32"/>
        <v/>
      </c>
      <c r="R105" s="50" t="str">
        <f t="shared" si="33"/>
        <v/>
      </c>
      <c r="S105" s="50" t="str">
        <f t="shared" si="34"/>
        <v/>
      </c>
      <c r="T105" s="50" t="str">
        <f t="shared" si="35"/>
        <v/>
      </c>
      <c r="Y105" s="54" t="str">
        <f t="shared" si="20"/>
        <v/>
      </c>
      <c r="Z105" s="50" t="str">
        <f t="shared" si="23"/>
        <v/>
      </c>
    </row>
    <row r="106" spans="1:26" x14ac:dyDescent="0.2">
      <c r="A106" s="17" t="str">
        <f t="shared" si="22"/>
        <v/>
      </c>
      <c r="B106" s="42" t="str">
        <f t="shared" si="19"/>
        <v/>
      </c>
      <c r="C106" s="17">
        <f t="shared" si="24"/>
        <v>0</v>
      </c>
      <c r="D106" s="17">
        <f t="shared" si="25"/>
        <v>0</v>
      </c>
      <c r="E106" s="17">
        <f t="shared" ca="1" si="26"/>
        <v>1</v>
      </c>
      <c r="F106" s="49">
        <f t="shared" ca="1" si="36"/>
        <v>48449</v>
      </c>
      <c r="G106" s="17">
        <v>74</v>
      </c>
      <c r="H106" s="17" t="str">
        <f t="shared" si="27"/>
        <v/>
      </c>
      <c r="I106" s="50" t="str">
        <f t="shared" si="28"/>
        <v/>
      </c>
      <c r="J106" s="51" t="str">
        <f t="shared" si="29"/>
        <v/>
      </c>
      <c r="K106" s="50" t="str">
        <f t="shared" si="30"/>
        <v/>
      </c>
      <c r="L106" s="52" t="str">
        <f>IF(LEN(H106)=0,IF(LEN(H105)&gt;0,SUM(L$32:L105)-L$32,""),IF(SYS!$AU$51="ануітет",IF(LEN(H107)=0,N106+M106,ROUND(PMT(SYS!$AG$52/12,D$8,$M$32),2))+P106,
IF(SYS!$AU$51="6 міс.% далі ануітет",IF(H106&lt;=6,N106,IF(LEN(H107)=0,N106+M106,ROUND(PMT(SYS!$AG$52/12,D$8-6,$M$32),2))+P106),
IF(SYS!$AU$51="3 міс.% далі ануітет",IF(H106&lt;=3,N106,IF(LEN(H107)=0,N106+M106,ROUND(PMT(SYS!$AG$52/12,D$8-3,$M$32),2))+P106),
IF(SYS!$AU$51="4 міс.% далі ануітет",IF(H106&lt;=4,N106,IF(LEN(H107)=0,N106+M106,ROUND(PMT(SYS!$AG$52/12,D$8-4,$M$32),2))+P106))))))</f>
        <v/>
      </c>
      <c r="M106" s="52" t="str">
        <f>IF(LEN(H106)=0,IF(LEN(H105)&gt;0,SUM(M$32:M105)-M$32,""),IF(LEN(H107)=0,SUM(M$32:M105)*-1,L106-N106-P106))</f>
        <v/>
      </c>
      <c r="N106" s="52" t="str">
        <f>IF(LEN(H106)=0,IF(LEN(H105)&gt;0,SUM(N$32:N105),""),ROUND((SUM(M$32:M105)*-1)*SYS!$AG$52/365*КАЛЬКУЛЯТОР!K106,2))</f>
        <v/>
      </c>
      <c r="O106" s="50" t="str">
        <f t="shared" si="31"/>
        <v/>
      </c>
      <c r="P106" s="52" t="str">
        <f>IF(LEN(H106)=0,IF(LEN(H105)&gt;0,SUM(P$32:P105),""),IF(SYS!$AV$51=SYS!$A$2,SUM(КАЛЬКУЛЯТОР!M$32:M105)*-1*$L$10,M$32*-1*L$10))</f>
        <v/>
      </c>
      <c r="Q106" s="53" t="str">
        <f t="shared" si="32"/>
        <v/>
      </c>
      <c r="R106" s="50" t="str">
        <f t="shared" si="33"/>
        <v/>
      </c>
      <c r="S106" s="50" t="str">
        <f t="shared" si="34"/>
        <v/>
      </c>
      <c r="T106" s="50" t="str">
        <f t="shared" si="35"/>
        <v/>
      </c>
      <c r="Y106" s="54" t="str">
        <f t="shared" si="20"/>
        <v/>
      </c>
      <c r="Z106" s="50" t="str">
        <f t="shared" si="23"/>
        <v/>
      </c>
    </row>
    <row r="107" spans="1:26" x14ac:dyDescent="0.2">
      <c r="A107" s="17" t="str">
        <f t="shared" si="22"/>
        <v/>
      </c>
      <c r="B107" s="42" t="str">
        <f t="shared" si="19"/>
        <v/>
      </c>
      <c r="C107" s="17">
        <f t="shared" si="24"/>
        <v>0</v>
      </c>
      <c r="D107" s="17">
        <f t="shared" si="25"/>
        <v>0</v>
      </c>
      <c r="E107" s="17">
        <f t="shared" ca="1" si="26"/>
        <v>4</v>
      </c>
      <c r="F107" s="49">
        <f t="shared" ca="1" si="36"/>
        <v>48480</v>
      </c>
      <c r="G107" s="17">
        <v>75</v>
      </c>
      <c r="H107" s="17" t="str">
        <f t="shared" si="27"/>
        <v/>
      </c>
      <c r="I107" s="50" t="str">
        <f t="shared" si="28"/>
        <v/>
      </c>
      <c r="J107" s="51" t="str">
        <f t="shared" si="29"/>
        <v/>
      </c>
      <c r="K107" s="50" t="str">
        <f t="shared" si="30"/>
        <v/>
      </c>
      <c r="L107" s="52" t="str">
        <f>IF(LEN(H107)=0,IF(LEN(H106)&gt;0,SUM(L$32:L106)-L$32,""),IF(SYS!$AU$51="ануітет",IF(LEN(H108)=0,N107+M107,ROUND(PMT(SYS!$AG$52/12,D$8,$M$32),2))+P107,
IF(SYS!$AU$51="6 міс.% далі ануітет",IF(H107&lt;=6,N107,IF(LEN(H108)=0,N107+M107,ROUND(PMT(SYS!$AG$52/12,D$8-6,$M$32),2))+P107),
IF(SYS!$AU$51="3 міс.% далі ануітет",IF(H107&lt;=3,N107,IF(LEN(H108)=0,N107+M107,ROUND(PMT(SYS!$AG$52/12,D$8-3,$M$32),2))+P107),
IF(SYS!$AU$51="4 міс.% далі ануітет",IF(H107&lt;=4,N107,IF(LEN(H108)=0,N107+M107,ROUND(PMT(SYS!$AG$52/12,D$8-4,$M$32),2))+P107))))))</f>
        <v/>
      </c>
      <c r="M107" s="52" t="str">
        <f>IF(LEN(H107)=0,IF(LEN(H106)&gt;0,SUM(M$32:M106)-M$32,""),IF(LEN(H108)=0,SUM(M$32:M106)*-1,L107-N107-P107))</f>
        <v/>
      </c>
      <c r="N107" s="52" t="str">
        <f>IF(LEN(H107)=0,IF(LEN(H106)&gt;0,SUM(N$32:N106),""),ROUND((SUM(M$32:M106)*-1)*SYS!$AG$52/365*КАЛЬКУЛЯТОР!K107,2))</f>
        <v/>
      </c>
      <c r="O107" s="50" t="str">
        <f t="shared" si="31"/>
        <v/>
      </c>
      <c r="P107" s="52" t="str">
        <f>IF(LEN(H107)=0,IF(LEN(H106)&gt;0,SUM(P$32:P106),""),IF(SYS!$AV$51=SYS!$A$2,SUM(КАЛЬКУЛЯТОР!M$32:M106)*-1*$L$10,M$32*-1*L$10))</f>
        <v/>
      </c>
      <c r="Q107" s="53" t="str">
        <f t="shared" si="32"/>
        <v/>
      </c>
      <c r="R107" s="50" t="str">
        <f t="shared" si="33"/>
        <v/>
      </c>
      <c r="S107" s="50" t="str">
        <f t="shared" si="34"/>
        <v/>
      </c>
      <c r="T107" s="50" t="str">
        <f t="shared" si="35"/>
        <v/>
      </c>
      <c r="Y107" s="54" t="str">
        <f t="shared" si="20"/>
        <v/>
      </c>
      <c r="Z107" s="50" t="str">
        <f t="shared" si="23"/>
        <v/>
      </c>
    </row>
    <row r="108" spans="1:26" x14ac:dyDescent="0.2">
      <c r="A108" s="17" t="str">
        <f t="shared" si="22"/>
        <v/>
      </c>
      <c r="B108" s="42" t="str">
        <f t="shared" si="19"/>
        <v/>
      </c>
      <c r="C108" s="17">
        <f t="shared" si="24"/>
        <v>0</v>
      </c>
      <c r="D108" s="17">
        <f t="shared" si="25"/>
        <v>0</v>
      </c>
      <c r="E108" s="17">
        <f t="shared" ca="1" si="26"/>
        <v>6</v>
      </c>
      <c r="F108" s="49">
        <f t="shared" ca="1" si="36"/>
        <v>48510</v>
      </c>
      <c r="G108" s="17">
        <v>76</v>
      </c>
      <c r="H108" s="17" t="str">
        <f t="shared" si="27"/>
        <v/>
      </c>
      <c r="I108" s="50" t="str">
        <f t="shared" si="28"/>
        <v/>
      </c>
      <c r="J108" s="51" t="str">
        <f t="shared" si="29"/>
        <v/>
      </c>
      <c r="K108" s="50" t="str">
        <f t="shared" si="30"/>
        <v/>
      </c>
      <c r="L108" s="52" t="str">
        <f>IF(LEN(H108)=0,IF(LEN(H107)&gt;0,SUM(L$32:L107)-L$32,""),IF(SYS!$AU$51="ануітет",IF(LEN(H109)=0,N108+M108,ROUND(PMT(SYS!$AG$52/12,D$8,$M$32),2))+P108,
IF(SYS!$AU$51="6 міс.% далі ануітет",IF(H108&lt;=6,N108,IF(LEN(H109)=0,N108+M108,ROUND(PMT(SYS!$AG$52/12,D$8-6,$M$32),2))+P108),
IF(SYS!$AU$51="3 міс.% далі ануітет",IF(H108&lt;=3,N108,IF(LEN(H109)=0,N108+M108,ROUND(PMT(SYS!$AG$52/12,D$8-3,$M$32),2))+P108),
IF(SYS!$AU$51="4 міс.% далі ануітет",IF(H108&lt;=4,N108,IF(LEN(H109)=0,N108+M108,ROUND(PMT(SYS!$AG$52/12,D$8-4,$M$32),2))+P108))))))</f>
        <v/>
      </c>
      <c r="M108" s="52" t="str">
        <f>IF(LEN(H108)=0,IF(LEN(H107)&gt;0,SUM(M$32:M107)-M$32,""),IF(LEN(H109)=0,SUM(M$32:M107)*-1,L108-N108-P108))</f>
        <v/>
      </c>
      <c r="N108" s="52" t="str">
        <f>IF(LEN(H108)=0,IF(LEN(H107)&gt;0,SUM(N$32:N107),""),ROUND((SUM(M$32:M107)*-1)*SYS!$AG$52/365*КАЛЬКУЛЯТОР!K108,2))</f>
        <v/>
      </c>
      <c r="O108" s="50" t="str">
        <f t="shared" si="31"/>
        <v/>
      </c>
      <c r="P108" s="52" t="str">
        <f>IF(LEN(H108)=0,IF(LEN(H107)&gt;0,SUM(P$32:P107),""),IF(SYS!$AV$51=SYS!$A$2,SUM(КАЛЬКУЛЯТОР!M$32:M107)*-1*$L$10,M$32*-1*L$10))</f>
        <v/>
      </c>
      <c r="Q108" s="53" t="str">
        <f t="shared" si="32"/>
        <v/>
      </c>
      <c r="R108" s="50" t="str">
        <f t="shared" si="33"/>
        <v/>
      </c>
      <c r="S108" s="50" t="str">
        <f t="shared" si="34"/>
        <v/>
      </c>
      <c r="T108" s="50" t="str">
        <f t="shared" si="35"/>
        <v/>
      </c>
      <c r="Y108" s="54" t="str">
        <f t="shared" si="20"/>
        <v/>
      </c>
      <c r="Z108" s="50" t="str">
        <f t="shared" si="23"/>
        <v/>
      </c>
    </row>
    <row r="109" spans="1:26" x14ac:dyDescent="0.2">
      <c r="A109" s="17" t="str">
        <f t="shared" si="22"/>
        <v/>
      </c>
      <c r="B109" s="42" t="str">
        <f t="shared" si="19"/>
        <v/>
      </c>
      <c r="C109" s="17">
        <f t="shared" si="24"/>
        <v>0</v>
      </c>
      <c r="D109" s="17">
        <f t="shared" si="25"/>
        <v>0</v>
      </c>
      <c r="E109" s="17">
        <f t="shared" ca="1" si="26"/>
        <v>2</v>
      </c>
      <c r="F109" s="49">
        <f t="shared" ca="1" si="36"/>
        <v>48541</v>
      </c>
      <c r="G109" s="17">
        <v>77</v>
      </c>
      <c r="H109" s="17" t="str">
        <f t="shared" si="27"/>
        <v/>
      </c>
      <c r="I109" s="50" t="str">
        <f t="shared" si="28"/>
        <v/>
      </c>
      <c r="J109" s="51" t="str">
        <f t="shared" si="29"/>
        <v/>
      </c>
      <c r="K109" s="50" t="str">
        <f t="shared" si="30"/>
        <v/>
      </c>
      <c r="L109" s="52" t="str">
        <f>IF(LEN(H109)=0,IF(LEN(H108)&gt;0,SUM(L$32:L108)-L$32,""),IF(SYS!$AU$51="ануітет",IF(LEN(H110)=0,N109+M109,ROUND(PMT(SYS!$AG$52/12,D$8,$M$32),2))+P109,
IF(SYS!$AU$51="6 міс.% далі ануітет",IF(H109&lt;=6,N109,IF(LEN(H110)=0,N109+M109,ROUND(PMT(SYS!$AG$52/12,D$8-6,$M$32),2))+P109),
IF(SYS!$AU$51="3 міс.% далі ануітет",IF(H109&lt;=3,N109,IF(LEN(H110)=0,N109+M109,ROUND(PMT(SYS!$AG$52/12,D$8-3,$M$32),2))+P109),
IF(SYS!$AU$51="4 міс.% далі ануітет",IF(H109&lt;=4,N109,IF(LEN(H110)=0,N109+M109,ROUND(PMT(SYS!$AG$52/12,D$8-4,$M$32),2))+P109))))))</f>
        <v/>
      </c>
      <c r="M109" s="52" t="str">
        <f>IF(LEN(H109)=0,IF(LEN(H108)&gt;0,SUM(M$32:M108)-M$32,""),IF(LEN(H110)=0,SUM(M$32:M108)*-1,L109-N109-P109))</f>
        <v/>
      </c>
      <c r="N109" s="52" t="str">
        <f>IF(LEN(H109)=0,IF(LEN(H108)&gt;0,SUM(N$32:N108),""),ROUND((SUM(M$32:M108)*-1)*SYS!$AG$52/365*КАЛЬКУЛЯТОР!K109,2))</f>
        <v/>
      </c>
      <c r="O109" s="50" t="str">
        <f t="shared" si="31"/>
        <v/>
      </c>
      <c r="P109" s="52" t="str">
        <f>IF(LEN(H109)=0,IF(LEN(H108)&gt;0,SUM(P$32:P108),""),IF(SYS!$AV$51=SYS!$A$2,SUM(КАЛЬКУЛЯТОР!M$32:M108)*-1*$L$10,M$32*-1*L$10))</f>
        <v/>
      </c>
      <c r="Q109" s="53" t="str">
        <f t="shared" si="32"/>
        <v/>
      </c>
      <c r="R109" s="50" t="str">
        <f t="shared" si="33"/>
        <v/>
      </c>
      <c r="S109" s="50" t="str">
        <f t="shared" si="34"/>
        <v/>
      </c>
      <c r="T109" s="50" t="str">
        <f t="shared" si="35"/>
        <v/>
      </c>
      <c r="Y109" s="54" t="str">
        <f t="shared" si="20"/>
        <v/>
      </c>
      <c r="Z109" s="50" t="str">
        <f t="shared" si="23"/>
        <v/>
      </c>
    </row>
    <row r="110" spans="1:26" x14ac:dyDescent="0.2">
      <c r="A110" s="17" t="str">
        <f t="shared" si="22"/>
        <v/>
      </c>
      <c r="B110" s="42" t="str">
        <f t="shared" ref="B110:B152" si="37">IF(LEN(H110)=0,IF(LEN(H109)&gt;0,1,""),"")</f>
        <v/>
      </c>
      <c r="C110" s="17">
        <f t="shared" si="24"/>
        <v>0</v>
      </c>
      <c r="D110" s="17">
        <f t="shared" si="25"/>
        <v>0</v>
      </c>
      <c r="E110" s="17">
        <f t="shared" ca="1" si="26"/>
        <v>4</v>
      </c>
      <c r="F110" s="49">
        <f t="shared" ca="1" si="36"/>
        <v>48571</v>
      </c>
      <c r="G110" s="17">
        <v>78</v>
      </c>
      <c r="H110" s="17" t="str">
        <f t="shared" si="27"/>
        <v/>
      </c>
      <c r="I110" s="50" t="str">
        <f t="shared" si="28"/>
        <v/>
      </c>
      <c r="J110" s="51" t="str">
        <f t="shared" si="29"/>
        <v/>
      </c>
      <c r="K110" s="50" t="str">
        <f t="shared" si="30"/>
        <v/>
      </c>
      <c r="L110" s="52" t="str">
        <f>IF(LEN(H110)=0,IF(LEN(H109)&gt;0,SUM(L$32:L109)-L$32,""),IF(SYS!$AU$51="ануітет",IF(LEN(H111)=0,N110+M110,ROUND(PMT(SYS!$AG$52/12,D$8,$M$32),2))+P110,
IF(SYS!$AU$51="6 міс.% далі ануітет",IF(H110&lt;=6,N110,IF(LEN(H111)=0,N110+M110,ROUND(PMT(SYS!$AG$52/12,D$8-6,$M$32),2))+P110),
IF(SYS!$AU$51="3 міс.% далі ануітет",IF(H110&lt;=3,N110,IF(LEN(H111)=0,N110+M110,ROUND(PMT(SYS!$AG$52/12,D$8-3,$M$32),2))+P110),
IF(SYS!$AU$51="4 міс.% далі ануітет",IF(H110&lt;=4,N110,IF(LEN(H111)=0,N110+M110,ROUND(PMT(SYS!$AG$52/12,D$8-4,$M$32),2))+P110))))))</f>
        <v/>
      </c>
      <c r="M110" s="52" t="str">
        <f>IF(LEN(H110)=0,IF(LEN(H109)&gt;0,SUM(M$32:M109)-M$32,""),IF(LEN(H111)=0,SUM(M$32:M109)*-1,L110-N110-P110))</f>
        <v/>
      </c>
      <c r="N110" s="52" t="str">
        <f>IF(LEN(H110)=0,IF(LEN(H109)&gt;0,SUM(N$32:N109),""),ROUND((SUM(M$32:M109)*-1)*SYS!$AG$52/365*КАЛЬКУЛЯТОР!K110,2))</f>
        <v/>
      </c>
      <c r="O110" s="50" t="str">
        <f t="shared" si="31"/>
        <v/>
      </c>
      <c r="P110" s="52" t="str">
        <f>IF(LEN(H110)=0,IF(LEN(H109)&gt;0,SUM(P$32:P109),""),IF(SYS!$AV$51=SYS!$A$2,SUM(КАЛЬКУЛЯТОР!M$32:M109)*-1*$L$10,M$32*-1*L$10))</f>
        <v/>
      </c>
      <c r="Q110" s="53" t="str">
        <f t="shared" si="32"/>
        <v/>
      </c>
      <c r="R110" s="50" t="str">
        <f t="shared" si="33"/>
        <v/>
      </c>
      <c r="S110" s="50" t="str">
        <f t="shared" si="34"/>
        <v/>
      </c>
      <c r="T110" s="50" t="str">
        <f t="shared" si="35"/>
        <v/>
      </c>
      <c r="Y110" s="54" t="str">
        <f t="shared" si="20"/>
        <v/>
      </c>
      <c r="Z110" s="50" t="str">
        <f t="shared" si="23"/>
        <v/>
      </c>
    </row>
    <row r="111" spans="1:26" x14ac:dyDescent="0.2">
      <c r="A111" s="17" t="str">
        <f t="shared" si="22"/>
        <v/>
      </c>
      <c r="B111" s="42" t="str">
        <f t="shared" si="37"/>
        <v/>
      </c>
      <c r="C111" s="17">
        <f t="shared" si="24"/>
        <v>0</v>
      </c>
      <c r="D111" s="17">
        <f t="shared" si="25"/>
        <v>0</v>
      </c>
      <c r="E111" s="17">
        <f t="shared" ca="1" si="26"/>
        <v>7</v>
      </c>
      <c r="F111" s="49">
        <f t="shared" ca="1" si="36"/>
        <v>48602</v>
      </c>
      <c r="G111" s="17">
        <v>79</v>
      </c>
      <c r="H111" s="17" t="str">
        <f t="shared" si="27"/>
        <v/>
      </c>
      <c r="I111" s="50" t="str">
        <f t="shared" si="28"/>
        <v/>
      </c>
      <c r="J111" s="51" t="str">
        <f t="shared" si="29"/>
        <v/>
      </c>
      <c r="K111" s="50" t="str">
        <f t="shared" si="30"/>
        <v/>
      </c>
      <c r="L111" s="52" t="str">
        <f>IF(LEN(H111)=0,IF(LEN(H110)&gt;0,SUM(L$32:L110)-L$32,""),IF(SYS!$AU$51="ануітет",IF(LEN(H112)=0,N111+M111,ROUND(PMT(SYS!$AG$52/12,D$8,$M$32),2))+P111,
IF(SYS!$AU$51="6 міс.% далі ануітет",IF(H111&lt;=6,N111,IF(LEN(H112)=0,N111+M111,ROUND(PMT(SYS!$AG$52/12,D$8-6,$M$32),2))+P111),
IF(SYS!$AU$51="3 міс.% далі ануітет",IF(H111&lt;=3,N111,IF(LEN(H112)=0,N111+M111,ROUND(PMT(SYS!$AG$52/12,D$8-3,$M$32),2))+P111),
IF(SYS!$AU$51="4 міс.% далі ануітет",IF(H111&lt;=4,N111,IF(LEN(H112)=0,N111+M111,ROUND(PMT(SYS!$AG$52/12,D$8-4,$M$32),2))+P111))))))</f>
        <v/>
      </c>
      <c r="M111" s="52" t="str">
        <f>IF(LEN(H111)=0,IF(LEN(H110)&gt;0,SUM(M$32:M110)-M$32,""),IF(LEN(H112)=0,SUM(M$32:M110)*-1,L111-N111-P111))</f>
        <v/>
      </c>
      <c r="N111" s="52" t="str">
        <f>IF(LEN(H111)=0,IF(LEN(H110)&gt;0,SUM(N$32:N110),""),ROUND((SUM(M$32:M110)*-1)*SYS!$AG$52/365*КАЛЬКУЛЯТОР!K111,2))</f>
        <v/>
      </c>
      <c r="O111" s="50" t="str">
        <f t="shared" si="31"/>
        <v/>
      </c>
      <c r="P111" s="52" t="str">
        <f>IF(LEN(H111)=0,IF(LEN(H110)&gt;0,SUM(P$32:P110),""),IF(SYS!$AV$51=SYS!$A$2,SUM(КАЛЬКУЛЯТОР!M$32:M110)*-1*$L$10,M$32*-1*L$10))</f>
        <v/>
      </c>
      <c r="Q111" s="53" t="str">
        <f t="shared" si="32"/>
        <v/>
      </c>
      <c r="R111" s="50" t="str">
        <f t="shared" si="33"/>
        <v/>
      </c>
      <c r="S111" s="50" t="str">
        <f t="shared" si="34"/>
        <v/>
      </c>
      <c r="T111" s="50" t="str">
        <f t="shared" si="35"/>
        <v/>
      </c>
      <c r="Y111" s="54" t="str">
        <f t="shared" si="20"/>
        <v/>
      </c>
      <c r="Z111" s="50" t="str">
        <f t="shared" si="23"/>
        <v/>
      </c>
    </row>
    <row r="112" spans="1:26" x14ac:dyDescent="0.2">
      <c r="A112" s="17" t="str">
        <f t="shared" si="22"/>
        <v/>
      </c>
      <c r="B112" s="42" t="str">
        <f t="shared" si="37"/>
        <v/>
      </c>
      <c r="C112" s="17">
        <f t="shared" si="24"/>
        <v>0</v>
      </c>
      <c r="D112" s="17">
        <f t="shared" si="25"/>
        <v>0</v>
      </c>
      <c r="E112" s="17">
        <f t="shared" ca="1" si="26"/>
        <v>3</v>
      </c>
      <c r="F112" s="49">
        <f t="shared" ca="1" si="36"/>
        <v>48633</v>
      </c>
      <c r="G112" s="17">
        <v>80</v>
      </c>
      <c r="H112" s="17" t="str">
        <f t="shared" si="27"/>
        <v/>
      </c>
      <c r="I112" s="50" t="str">
        <f t="shared" si="28"/>
        <v/>
      </c>
      <c r="J112" s="51" t="str">
        <f t="shared" si="29"/>
        <v/>
      </c>
      <c r="K112" s="50" t="str">
        <f t="shared" si="30"/>
        <v/>
      </c>
      <c r="L112" s="52" t="str">
        <f>IF(LEN(H112)=0,IF(LEN(H111)&gt;0,SUM(L$32:L111)-L$32,""),IF(SYS!$AU$51="ануітет",IF(LEN(H113)=0,N112+M112,ROUND(PMT(SYS!$AG$52/12,D$8,$M$32),2))+P112,
IF(SYS!$AU$51="6 міс.% далі ануітет",IF(H112&lt;=6,N112,IF(LEN(H113)=0,N112+M112,ROUND(PMT(SYS!$AG$52/12,D$8-6,$M$32),2))+P112),
IF(SYS!$AU$51="3 міс.% далі ануітет",IF(H112&lt;=3,N112,IF(LEN(H113)=0,N112+M112,ROUND(PMT(SYS!$AG$52/12,D$8-3,$M$32),2))+P112),
IF(SYS!$AU$51="4 міс.% далі ануітет",IF(H112&lt;=4,N112,IF(LEN(H113)=0,N112+M112,ROUND(PMT(SYS!$AG$52/12,D$8-4,$M$32),2))+P112))))))</f>
        <v/>
      </c>
      <c r="M112" s="52" t="str">
        <f>IF(LEN(H112)=0,IF(LEN(H111)&gt;0,SUM(M$32:M111)-M$32,""),IF(LEN(H113)=0,SUM(M$32:M111)*-1,L112-N112-P112))</f>
        <v/>
      </c>
      <c r="N112" s="52" t="str">
        <f>IF(LEN(H112)=0,IF(LEN(H111)&gt;0,SUM(N$32:N111),""),ROUND((SUM(M$32:M111)*-1)*SYS!$AG$52/365*КАЛЬКУЛЯТОР!K112,2))</f>
        <v/>
      </c>
      <c r="O112" s="50" t="str">
        <f t="shared" si="31"/>
        <v/>
      </c>
      <c r="P112" s="52" t="str">
        <f>IF(LEN(H112)=0,IF(LEN(H111)&gt;0,SUM(P$32:P111),""),IF(SYS!$AV$51=SYS!$A$2,SUM(КАЛЬКУЛЯТОР!M$32:M111)*-1*$L$10,M$32*-1*L$10))</f>
        <v/>
      </c>
      <c r="Q112" s="53" t="str">
        <f t="shared" si="32"/>
        <v/>
      </c>
      <c r="R112" s="50" t="str">
        <f t="shared" si="33"/>
        <v/>
      </c>
      <c r="S112" s="50" t="str">
        <f t="shared" si="34"/>
        <v/>
      </c>
      <c r="T112" s="50" t="str">
        <f t="shared" si="35"/>
        <v/>
      </c>
      <c r="Y112" s="54" t="str">
        <f t="shared" si="20"/>
        <v/>
      </c>
      <c r="Z112" s="50" t="str">
        <f t="shared" si="23"/>
        <v/>
      </c>
    </row>
    <row r="113" spans="1:26" x14ac:dyDescent="0.2">
      <c r="A113" s="17" t="str">
        <f t="shared" si="22"/>
        <v/>
      </c>
      <c r="B113" s="42" t="str">
        <f t="shared" si="37"/>
        <v/>
      </c>
      <c r="C113" s="17">
        <f t="shared" si="24"/>
        <v>0</v>
      </c>
      <c r="D113" s="17">
        <f t="shared" si="25"/>
        <v>0</v>
      </c>
      <c r="E113" s="17">
        <f t="shared" ca="1" si="26"/>
        <v>3</v>
      </c>
      <c r="F113" s="49">
        <f t="shared" ca="1" si="36"/>
        <v>48661</v>
      </c>
      <c r="G113" s="17">
        <v>81</v>
      </c>
      <c r="H113" s="17" t="str">
        <f t="shared" si="27"/>
        <v/>
      </c>
      <c r="I113" s="50" t="str">
        <f t="shared" si="28"/>
        <v/>
      </c>
      <c r="J113" s="51" t="str">
        <f t="shared" si="29"/>
        <v/>
      </c>
      <c r="K113" s="50" t="str">
        <f t="shared" si="30"/>
        <v/>
      </c>
      <c r="L113" s="52" t="str">
        <f>IF(LEN(H113)=0,IF(LEN(H112)&gt;0,SUM(L$32:L112)-L$32,""),IF(SYS!$AU$51="ануітет",IF(LEN(H114)=0,N113+M113,ROUND(PMT(SYS!$AG$52/12,D$8,$M$32),2))+P113,
IF(SYS!$AU$51="6 міс.% далі ануітет",IF(H113&lt;=6,N113,IF(LEN(H114)=0,N113+M113,ROUND(PMT(SYS!$AG$52/12,D$8-6,$M$32),2))+P113),
IF(SYS!$AU$51="3 міс.% далі ануітет",IF(H113&lt;=3,N113,IF(LEN(H114)=0,N113+M113,ROUND(PMT(SYS!$AG$52/12,D$8-3,$M$32),2))+P113),
IF(SYS!$AU$51="4 міс.% далі ануітет",IF(H113&lt;=4,N113,IF(LEN(H114)=0,N113+M113,ROUND(PMT(SYS!$AG$52/12,D$8-4,$M$32),2))+P113))))))</f>
        <v/>
      </c>
      <c r="M113" s="52" t="str">
        <f>IF(LEN(H113)=0,IF(LEN(H112)&gt;0,SUM(M$32:M112)-M$32,""),IF(LEN(H114)=0,SUM(M$32:M112)*-1,L113-N113-P113))</f>
        <v/>
      </c>
      <c r="N113" s="52" t="str">
        <f>IF(LEN(H113)=0,IF(LEN(H112)&gt;0,SUM(N$32:N112),""),ROUND((SUM(M$32:M112)*-1)*SYS!$AG$52/365*КАЛЬКУЛЯТОР!K113,2))</f>
        <v/>
      </c>
      <c r="O113" s="50" t="str">
        <f t="shared" si="31"/>
        <v/>
      </c>
      <c r="P113" s="52" t="str">
        <f>IF(LEN(H113)=0,IF(LEN(H112)&gt;0,SUM(P$32:P112),""),IF(SYS!$AV$51=SYS!$A$2,SUM(КАЛЬКУЛЯТОР!M$32:M112)*-1*$L$10,M$32*-1*L$10))</f>
        <v/>
      </c>
      <c r="Q113" s="53" t="str">
        <f t="shared" si="32"/>
        <v/>
      </c>
      <c r="R113" s="50" t="str">
        <f t="shared" si="33"/>
        <v/>
      </c>
      <c r="S113" s="50" t="str">
        <f t="shared" si="34"/>
        <v/>
      </c>
      <c r="T113" s="50" t="str">
        <f t="shared" si="35"/>
        <v/>
      </c>
      <c r="Y113" s="54" t="str">
        <f t="shared" si="20"/>
        <v/>
      </c>
      <c r="Z113" s="50" t="str">
        <f t="shared" si="23"/>
        <v/>
      </c>
    </row>
    <row r="114" spans="1:26" x14ac:dyDescent="0.2">
      <c r="A114" s="17" t="str">
        <f t="shared" si="22"/>
        <v/>
      </c>
      <c r="B114" s="42" t="str">
        <f t="shared" si="37"/>
        <v/>
      </c>
      <c r="C114" s="17">
        <f t="shared" si="24"/>
        <v>0</v>
      </c>
      <c r="D114" s="17">
        <f t="shared" si="25"/>
        <v>0</v>
      </c>
      <c r="E114" s="17">
        <f t="shared" ca="1" si="26"/>
        <v>6</v>
      </c>
      <c r="F114" s="49">
        <f t="shared" ca="1" si="36"/>
        <v>48692</v>
      </c>
      <c r="G114" s="17">
        <v>82</v>
      </c>
      <c r="H114" s="17" t="str">
        <f t="shared" si="27"/>
        <v/>
      </c>
      <c r="I114" s="50" t="str">
        <f t="shared" si="28"/>
        <v/>
      </c>
      <c r="J114" s="51" t="str">
        <f t="shared" si="29"/>
        <v/>
      </c>
      <c r="K114" s="50" t="str">
        <f t="shared" si="30"/>
        <v/>
      </c>
      <c r="L114" s="52" t="str">
        <f>IF(LEN(H114)=0,IF(LEN(H113)&gt;0,SUM(L$32:L113)-L$32,""),IF(SYS!$AU$51="ануітет",IF(LEN(H115)=0,N114+M114,ROUND(PMT(SYS!$AG$52/12,D$8,$M$32),2))+P114,
IF(SYS!$AU$51="6 міс.% далі ануітет",IF(H114&lt;=6,N114,IF(LEN(H115)=0,N114+M114,ROUND(PMT(SYS!$AG$52/12,D$8-6,$M$32),2))+P114),
IF(SYS!$AU$51="3 міс.% далі ануітет",IF(H114&lt;=3,N114,IF(LEN(H115)=0,N114+M114,ROUND(PMT(SYS!$AG$52/12,D$8-3,$M$32),2))+P114),
IF(SYS!$AU$51="4 міс.% далі ануітет",IF(H114&lt;=4,N114,IF(LEN(H115)=0,N114+M114,ROUND(PMT(SYS!$AG$52/12,D$8-4,$M$32),2))+P114))))))</f>
        <v/>
      </c>
      <c r="M114" s="52" t="str">
        <f>IF(LEN(H114)=0,IF(LEN(H113)&gt;0,SUM(M$32:M113)-M$32,""),IF(LEN(H115)=0,SUM(M$32:M113)*-1,L114-N114-P114))</f>
        <v/>
      </c>
      <c r="N114" s="52" t="str">
        <f>IF(LEN(H114)=0,IF(LEN(H113)&gt;0,SUM(N$32:N113),""),ROUND((SUM(M$32:M113)*-1)*SYS!$AG$52/365*КАЛЬКУЛЯТОР!K114,2))</f>
        <v/>
      </c>
      <c r="O114" s="50" t="str">
        <f t="shared" si="31"/>
        <v/>
      </c>
      <c r="P114" s="52" t="str">
        <f>IF(LEN(H114)=0,IF(LEN(H113)&gt;0,SUM(P$32:P113),""),IF(SYS!$AV$51=SYS!$A$2,SUM(КАЛЬКУЛЯТОР!M$32:M113)*-1*$L$10,M$32*-1*L$10))</f>
        <v/>
      </c>
      <c r="Q114" s="53" t="str">
        <f t="shared" si="32"/>
        <v/>
      </c>
      <c r="R114" s="50" t="str">
        <f t="shared" si="33"/>
        <v/>
      </c>
      <c r="S114" s="50" t="str">
        <f t="shared" si="34"/>
        <v/>
      </c>
      <c r="T114" s="50" t="str">
        <f t="shared" si="35"/>
        <v/>
      </c>
      <c r="Y114" s="54" t="str">
        <f t="shared" si="20"/>
        <v/>
      </c>
      <c r="Z114" s="50" t="str">
        <f t="shared" si="23"/>
        <v/>
      </c>
    </row>
    <row r="115" spans="1:26" x14ac:dyDescent="0.2">
      <c r="A115" s="17" t="str">
        <f t="shared" si="22"/>
        <v/>
      </c>
      <c r="B115" s="42" t="str">
        <f t="shared" si="37"/>
        <v/>
      </c>
      <c r="C115" s="17">
        <f t="shared" si="24"/>
        <v>0</v>
      </c>
      <c r="D115" s="17">
        <f t="shared" si="25"/>
        <v>0</v>
      </c>
      <c r="E115" s="17">
        <f t="shared" ca="1" si="26"/>
        <v>1</v>
      </c>
      <c r="F115" s="49">
        <f t="shared" ca="1" si="36"/>
        <v>48722</v>
      </c>
      <c r="G115" s="17">
        <v>83</v>
      </c>
      <c r="H115" s="17" t="str">
        <f t="shared" si="27"/>
        <v/>
      </c>
      <c r="I115" s="50" t="str">
        <f t="shared" si="28"/>
        <v/>
      </c>
      <c r="J115" s="51" t="str">
        <f t="shared" si="29"/>
        <v/>
      </c>
      <c r="K115" s="50" t="str">
        <f t="shared" si="30"/>
        <v/>
      </c>
      <c r="L115" s="52" t="str">
        <f>IF(LEN(H115)=0,IF(LEN(H114)&gt;0,SUM(L$32:L114)-L$32,""),IF(SYS!$AU$51="ануітет",IF(LEN(H116)=0,N115+M115,ROUND(PMT(SYS!$AG$52/12,D$8,$M$32),2))+P115,
IF(SYS!$AU$51="6 міс.% далі ануітет",IF(H115&lt;=6,N115,IF(LEN(H116)=0,N115+M115,ROUND(PMT(SYS!$AG$52/12,D$8-6,$M$32),2))+P115),
IF(SYS!$AU$51="3 міс.% далі ануітет",IF(H115&lt;=3,N115,IF(LEN(H116)=0,N115+M115,ROUND(PMT(SYS!$AG$52/12,D$8-3,$M$32),2))+P115),
IF(SYS!$AU$51="4 міс.% далі ануітет",IF(H115&lt;=4,N115,IF(LEN(H116)=0,N115+M115,ROUND(PMT(SYS!$AG$52/12,D$8-4,$M$32),2))+P115))))))</f>
        <v/>
      </c>
      <c r="M115" s="52" t="str">
        <f>IF(LEN(H115)=0,IF(LEN(H114)&gt;0,SUM(M$32:M114)-M$32,""),IF(LEN(H116)=0,SUM(M$32:M114)*-1,L115-N115-P115))</f>
        <v/>
      </c>
      <c r="N115" s="52" t="str">
        <f>IF(LEN(H115)=0,IF(LEN(H114)&gt;0,SUM(N$32:N114),""),ROUND((SUM(M$32:M114)*-1)*SYS!$AG$52/365*КАЛЬКУЛЯТОР!K115,2))</f>
        <v/>
      </c>
      <c r="O115" s="50" t="str">
        <f t="shared" si="31"/>
        <v/>
      </c>
      <c r="P115" s="52" t="str">
        <f>IF(LEN(H115)=0,IF(LEN(H114)&gt;0,SUM(P$32:P114),""),IF(SYS!$AV$51=SYS!$A$2,SUM(КАЛЬКУЛЯТОР!M$32:M114)*-1*$L$10,M$32*-1*L$10))</f>
        <v/>
      </c>
      <c r="Q115" s="53" t="str">
        <f t="shared" si="32"/>
        <v/>
      </c>
      <c r="R115" s="50" t="str">
        <f t="shared" si="33"/>
        <v/>
      </c>
      <c r="S115" s="50" t="str">
        <f t="shared" si="34"/>
        <v/>
      </c>
      <c r="T115" s="50" t="str">
        <f t="shared" si="35"/>
        <v/>
      </c>
      <c r="Y115" s="54" t="str">
        <f t="shared" ref="Y115:Y152" si="38">IF(LEN(H115)=0,IF(LEN(H114)&gt;0,$L$21,""),"Х")</f>
        <v/>
      </c>
      <c r="Z115" s="50" t="str">
        <f t="shared" si="23"/>
        <v/>
      </c>
    </row>
    <row r="116" spans="1:26" x14ac:dyDescent="0.2">
      <c r="A116" s="17" t="str">
        <f t="shared" si="22"/>
        <v/>
      </c>
      <c r="B116" s="42" t="str">
        <f t="shared" si="37"/>
        <v/>
      </c>
      <c r="C116" s="17">
        <f t="shared" si="24"/>
        <v>0</v>
      </c>
      <c r="D116" s="17">
        <f t="shared" si="25"/>
        <v>0</v>
      </c>
      <c r="E116" s="17">
        <f t="shared" ca="1" si="26"/>
        <v>4</v>
      </c>
      <c r="F116" s="49">
        <f t="shared" ca="1" si="36"/>
        <v>48753</v>
      </c>
      <c r="G116" s="17">
        <v>84</v>
      </c>
      <c r="H116" s="17" t="str">
        <f t="shared" si="27"/>
        <v/>
      </c>
      <c r="I116" s="50" t="str">
        <f t="shared" si="28"/>
        <v/>
      </c>
      <c r="J116" s="51" t="str">
        <f t="shared" si="29"/>
        <v/>
      </c>
      <c r="K116" s="50" t="str">
        <f t="shared" si="30"/>
        <v/>
      </c>
      <c r="L116" s="52" t="str">
        <f>IF(LEN(H116)=0,IF(LEN(H115)&gt;0,SUM(L$32:L115)-L$32,""),IF(SYS!$AU$51="ануітет",IF(LEN(H117)=0,N116+M116,ROUND(PMT(SYS!$AG$52/12,D$8,$M$32),2))+P116,
IF(SYS!$AU$51="6 міс.% далі ануітет",IF(H116&lt;=6,N116,IF(LEN(H117)=0,N116+M116,ROUND(PMT(SYS!$AG$52/12,D$8-6,$M$32),2))+P116),
IF(SYS!$AU$51="3 міс.% далі ануітет",IF(H116&lt;=3,N116,IF(LEN(H117)=0,N116+M116,ROUND(PMT(SYS!$AG$52/12,D$8-3,$M$32),2))+P116),
IF(SYS!$AU$51="4 міс.% далі ануітет",IF(H116&lt;=4,N116,IF(LEN(H117)=0,N116+M116,ROUND(PMT(SYS!$AG$52/12,D$8-4,$M$32),2))+P116))))))</f>
        <v/>
      </c>
      <c r="M116" s="52" t="str">
        <f>IF(LEN(H116)=0,IF(LEN(H115)&gt;0,SUM(M$32:M115)-M$32,""),IF(LEN(H117)=0,SUM(M$32:M115)*-1,L116-N116-P116))</f>
        <v/>
      </c>
      <c r="N116" s="52" t="str">
        <f>IF(LEN(H116)=0,IF(LEN(H115)&gt;0,SUM(N$32:N115),""),ROUND((SUM(M$32:M115)*-1)*SYS!$AG$52/365*КАЛЬКУЛЯТОР!K116,2))</f>
        <v/>
      </c>
      <c r="O116" s="50" t="str">
        <f t="shared" si="31"/>
        <v/>
      </c>
      <c r="P116" s="52" t="str">
        <f>IF(LEN(H116)=0,IF(LEN(H115)&gt;0,SUM(P$32:P115),""),IF(SYS!$AV$51=SYS!$A$2,SUM(КАЛЬКУЛЯТОР!M$32:M115)*-1*$L$10,M$32*-1*L$10))</f>
        <v/>
      </c>
      <c r="Q116" s="53" t="str">
        <f t="shared" si="32"/>
        <v/>
      </c>
      <c r="R116" s="50" t="str">
        <f t="shared" si="33"/>
        <v/>
      </c>
      <c r="S116" s="50" t="str">
        <f t="shared" si="34"/>
        <v/>
      </c>
      <c r="T116" s="50" t="str">
        <f t="shared" si="35"/>
        <v/>
      </c>
      <c r="Y116" s="54" t="str">
        <f t="shared" si="38"/>
        <v/>
      </c>
      <c r="Z116" s="50" t="str">
        <f t="shared" si="23"/>
        <v/>
      </c>
    </row>
    <row r="117" spans="1:26" x14ac:dyDescent="0.2">
      <c r="A117" s="17" t="str">
        <f t="shared" si="22"/>
        <v/>
      </c>
      <c r="B117" s="42" t="str">
        <f t="shared" si="37"/>
        <v/>
      </c>
      <c r="C117" s="17">
        <f t="shared" si="24"/>
        <v>0</v>
      </c>
      <c r="D117" s="17">
        <f t="shared" si="25"/>
        <v>0</v>
      </c>
      <c r="E117" s="17">
        <f t="shared" ca="1" si="26"/>
        <v>6</v>
      </c>
      <c r="F117" s="49">
        <f t="shared" ca="1" si="36"/>
        <v>48783</v>
      </c>
      <c r="G117" s="17">
        <v>85</v>
      </c>
      <c r="H117" s="17" t="str">
        <f t="shared" si="27"/>
        <v/>
      </c>
      <c r="I117" s="50" t="str">
        <f t="shared" si="28"/>
        <v/>
      </c>
      <c r="J117" s="51" t="str">
        <f t="shared" si="29"/>
        <v/>
      </c>
      <c r="K117" s="50" t="str">
        <f t="shared" si="30"/>
        <v/>
      </c>
      <c r="L117" s="52" t="str">
        <f>IF(LEN(H117)=0,IF(LEN(H116)&gt;0,SUM(L$32:L116)-L$32,""),IF(SYS!$AU$51="ануітет",IF(LEN(H118)=0,N117+M117,ROUND(PMT(SYS!$AG$52/12,D$8,$M$32),2))+P117,
IF(SYS!$AU$51="6 міс.% далі ануітет",IF(H117&lt;=6,N117,IF(LEN(H118)=0,N117+M117,ROUND(PMT(SYS!$AG$52/12,D$8-6,$M$32),2))+P117),
IF(SYS!$AU$51="3 міс.% далі ануітет",IF(H117&lt;=3,N117,IF(LEN(H118)=0,N117+M117,ROUND(PMT(SYS!$AG$52/12,D$8-3,$M$32),2))+P117),
IF(SYS!$AU$51="4 міс.% далі ануітет",IF(H117&lt;=4,N117,IF(LEN(H118)=0,N117+M117,ROUND(PMT(SYS!$AG$52/12,D$8-4,$M$32),2))+P117))))))</f>
        <v/>
      </c>
      <c r="M117" s="52" t="str">
        <f>IF(LEN(H117)=0,IF(LEN(H116)&gt;0,SUM(M$32:M116)-M$32,""),IF(LEN(H118)=0,SUM(M$32:M116)*-1,L117-N117-P117))</f>
        <v/>
      </c>
      <c r="N117" s="52" t="str">
        <f>IF(LEN(H117)=0,IF(LEN(H116)&gt;0,SUM(N$32:N116),""),ROUND((SUM(M$32:M116)*-1)*SYS!$AG$52/365*КАЛЬКУЛЯТОР!K117,2))</f>
        <v/>
      </c>
      <c r="O117" s="50" t="str">
        <f t="shared" si="31"/>
        <v/>
      </c>
      <c r="P117" s="52" t="str">
        <f>IF(LEN(H117)=0,IF(LEN(H116)&gt;0,SUM(P$32:P116),""),IF(SYS!$AV$51=SYS!$A$2,SUM(КАЛЬКУЛЯТОР!M$32:M116)*-1*$L$10,M$32*-1*L$10))</f>
        <v/>
      </c>
      <c r="Q117" s="53" t="str">
        <f t="shared" si="32"/>
        <v/>
      </c>
      <c r="R117" s="50" t="str">
        <f t="shared" si="33"/>
        <v/>
      </c>
      <c r="S117" s="50" t="str">
        <f t="shared" si="34"/>
        <v/>
      </c>
      <c r="T117" s="50" t="str">
        <f t="shared" si="35"/>
        <v/>
      </c>
      <c r="Y117" s="54" t="str">
        <f t="shared" si="38"/>
        <v/>
      </c>
      <c r="Z117" s="50" t="str">
        <f t="shared" si="23"/>
        <v/>
      </c>
    </row>
    <row r="118" spans="1:26" x14ac:dyDescent="0.2">
      <c r="A118" s="17" t="str">
        <f t="shared" si="22"/>
        <v/>
      </c>
      <c r="B118" s="42" t="str">
        <f t="shared" si="37"/>
        <v/>
      </c>
      <c r="C118" s="17">
        <f t="shared" si="24"/>
        <v>0</v>
      </c>
      <c r="D118" s="17">
        <f t="shared" si="25"/>
        <v>0</v>
      </c>
      <c r="E118" s="17">
        <f t="shared" ca="1" si="26"/>
        <v>2</v>
      </c>
      <c r="F118" s="49">
        <f t="shared" ca="1" si="36"/>
        <v>48814</v>
      </c>
      <c r="G118" s="17">
        <v>86</v>
      </c>
      <c r="H118" s="17" t="str">
        <f t="shared" si="27"/>
        <v/>
      </c>
      <c r="I118" s="50" t="str">
        <f t="shared" si="28"/>
        <v/>
      </c>
      <c r="J118" s="51" t="str">
        <f t="shared" si="29"/>
        <v/>
      </c>
      <c r="K118" s="50" t="str">
        <f t="shared" si="30"/>
        <v/>
      </c>
      <c r="L118" s="52" t="str">
        <f>IF(LEN(H118)=0,IF(LEN(H117)&gt;0,SUM(L$32:L117)-L$32,""),IF(SYS!$AU$51="ануітет",IF(LEN(H119)=0,N118+M118,ROUND(PMT(SYS!$AG$52/12,D$8,$M$32),2))+P118,
IF(SYS!$AU$51="6 міс.% далі ануітет",IF(H118&lt;=6,N118,IF(LEN(H119)=0,N118+M118,ROUND(PMT(SYS!$AG$52/12,D$8-6,$M$32),2))+P118),
IF(SYS!$AU$51="3 міс.% далі ануітет",IF(H118&lt;=3,N118,IF(LEN(H119)=0,N118+M118,ROUND(PMT(SYS!$AG$52/12,D$8-3,$M$32),2))+P118),
IF(SYS!$AU$51="4 міс.% далі ануітет",IF(H118&lt;=4,N118,IF(LEN(H119)=0,N118+M118,ROUND(PMT(SYS!$AG$52/12,D$8-4,$M$32),2))+P118))))))</f>
        <v/>
      </c>
      <c r="M118" s="52" t="str">
        <f>IF(LEN(H118)=0,IF(LEN(H117)&gt;0,SUM(M$32:M117)-M$32,""),IF(LEN(H119)=0,SUM(M$32:M117)*-1,L118-N118-P118))</f>
        <v/>
      </c>
      <c r="N118" s="52" t="str">
        <f>IF(LEN(H118)=0,IF(LEN(H117)&gt;0,SUM(N$32:N117),""),ROUND((SUM(M$32:M117)*-1)*SYS!$AG$52/365*КАЛЬКУЛЯТОР!K118,2))</f>
        <v/>
      </c>
      <c r="O118" s="50" t="str">
        <f t="shared" si="31"/>
        <v/>
      </c>
      <c r="P118" s="52" t="str">
        <f>IF(LEN(H118)=0,IF(LEN(H117)&gt;0,SUM(P$32:P117),""),IF(SYS!$AV$51=SYS!$A$2,SUM(КАЛЬКУЛЯТОР!M$32:M117)*-1*$L$10,M$32*-1*L$10))</f>
        <v/>
      </c>
      <c r="Q118" s="53" t="str">
        <f t="shared" si="32"/>
        <v/>
      </c>
      <c r="R118" s="50" t="str">
        <f t="shared" si="33"/>
        <v/>
      </c>
      <c r="S118" s="50" t="str">
        <f t="shared" si="34"/>
        <v/>
      </c>
      <c r="T118" s="50" t="str">
        <f t="shared" si="35"/>
        <v/>
      </c>
      <c r="Y118" s="54" t="str">
        <f t="shared" si="38"/>
        <v/>
      </c>
      <c r="Z118" s="50" t="str">
        <f t="shared" si="23"/>
        <v/>
      </c>
    </row>
    <row r="119" spans="1:26" x14ac:dyDescent="0.2">
      <c r="A119" s="17" t="str">
        <f t="shared" si="22"/>
        <v/>
      </c>
      <c r="B119" s="42" t="str">
        <f t="shared" si="37"/>
        <v/>
      </c>
      <c r="C119" s="17">
        <f t="shared" si="24"/>
        <v>0</v>
      </c>
      <c r="D119" s="17">
        <f t="shared" si="25"/>
        <v>0</v>
      </c>
      <c r="E119" s="17">
        <f t="shared" ca="1" si="26"/>
        <v>5</v>
      </c>
      <c r="F119" s="49">
        <f t="shared" ca="1" si="36"/>
        <v>48845</v>
      </c>
      <c r="G119" s="17">
        <v>87</v>
      </c>
      <c r="H119" s="17" t="str">
        <f t="shared" si="27"/>
        <v/>
      </c>
      <c r="I119" s="50" t="str">
        <f t="shared" si="28"/>
        <v/>
      </c>
      <c r="J119" s="51" t="str">
        <f t="shared" si="29"/>
        <v/>
      </c>
      <c r="K119" s="50" t="str">
        <f t="shared" si="30"/>
        <v/>
      </c>
      <c r="L119" s="52" t="str">
        <f>IF(LEN(H119)=0,IF(LEN(H118)&gt;0,SUM(L$32:L118)-L$32,""),IF(SYS!$AU$51="ануітет",IF(LEN(H120)=0,N119+M119,ROUND(PMT(SYS!$AG$52/12,D$8,$M$32),2))+P119,
IF(SYS!$AU$51="6 міс.% далі ануітет",IF(H119&lt;=6,N119,IF(LEN(H120)=0,N119+M119,ROUND(PMT(SYS!$AG$52/12,D$8-6,$M$32),2))+P119),
IF(SYS!$AU$51="3 міс.% далі ануітет",IF(H119&lt;=3,N119,IF(LEN(H120)=0,N119+M119,ROUND(PMT(SYS!$AG$52/12,D$8-3,$M$32),2))+P119),
IF(SYS!$AU$51="4 міс.% далі ануітет",IF(H119&lt;=4,N119,IF(LEN(H120)=0,N119+M119,ROUND(PMT(SYS!$AG$52/12,D$8-4,$M$32),2))+P119))))))</f>
        <v/>
      </c>
      <c r="M119" s="52" t="str">
        <f>IF(LEN(H119)=0,IF(LEN(H118)&gt;0,SUM(M$32:M118)-M$32,""),IF(LEN(H120)=0,SUM(M$32:M118)*-1,L119-N119-P119))</f>
        <v/>
      </c>
      <c r="N119" s="52" t="str">
        <f>IF(LEN(H119)=0,IF(LEN(H118)&gt;0,SUM(N$32:N118),""),ROUND((SUM(M$32:M118)*-1)*SYS!$AG$52/365*КАЛЬКУЛЯТОР!K119,2))</f>
        <v/>
      </c>
      <c r="O119" s="50" t="str">
        <f t="shared" si="31"/>
        <v/>
      </c>
      <c r="P119" s="52" t="str">
        <f>IF(LEN(H119)=0,IF(LEN(H118)&gt;0,SUM(P$32:P118),""),IF(SYS!$AV$51=SYS!$A$2,SUM(КАЛЬКУЛЯТОР!M$32:M118)*-1*$L$10,M$32*-1*L$10))</f>
        <v/>
      </c>
      <c r="Q119" s="53" t="str">
        <f t="shared" si="32"/>
        <v/>
      </c>
      <c r="R119" s="50" t="str">
        <f t="shared" si="33"/>
        <v/>
      </c>
      <c r="S119" s="50" t="str">
        <f t="shared" si="34"/>
        <v/>
      </c>
      <c r="T119" s="50" t="str">
        <f t="shared" si="35"/>
        <v/>
      </c>
      <c r="Y119" s="54" t="str">
        <f t="shared" si="38"/>
        <v/>
      </c>
      <c r="Z119" s="50" t="str">
        <f t="shared" si="23"/>
        <v/>
      </c>
    </row>
    <row r="120" spans="1:26" x14ac:dyDescent="0.2">
      <c r="A120" s="17" t="str">
        <f t="shared" si="22"/>
        <v/>
      </c>
      <c r="B120" s="42" t="str">
        <f t="shared" si="37"/>
        <v/>
      </c>
      <c r="C120" s="17">
        <f t="shared" si="24"/>
        <v>0</v>
      </c>
      <c r="D120" s="17">
        <f t="shared" si="25"/>
        <v>0</v>
      </c>
      <c r="E120" s="17">
        <f t="shared" ca="1" si="26"/>
        <v>7</v>
      </c>
      <c r="F120" s="49">
        <f t="shared" ca="1" si="36"/>
        <v>48875</v>
      </c>
      <c r="G120" s="17">
        <v>88</v>
      </c>
      <c r="H120" s="17" t="str">
        <f t="shared" si="27"/>
        <v/>
      </c>
      <c r="I120" s="50" t="str">
        <f t="shared" si="28"/>
        <v/>
      </c>
      <c r="J120" s="51" t="str">
        <f t="shared" si="29"/>
        <v/>
      </c>
      <c r="K120" s="50" t="str">
        <f t="shared" si="30"/>
        <v/>
      </c>
      <c r="L120" s="52" t="str">
        <f>IF(LEN(H120)=0,IF(LEN(H119)&gt;0,SUM(L$32:L119)-L$32,""),IF(SYS!$AU$51="ануітет",IF(LEN(H121)=0,N120+M120,ROUND(PMT(SYS!$AG$52/12,D$8,$M$32),2))+P120,
IF(SYS!$AU$51="6 міс.% далі ануітет",IF(H120&lt;=6,N120,IF(LEN(H121)=0,N120+M120,ROUND(PMT(SYS!$AG$52/12,D$8-6,$M$32),2))+P120),
IF(SYS!$AU$51="3 міс.% далі ануітет",IF(H120&lt;=3,N120,IF(LEN(H121)=0,N120+M120,ROUND(PMT(SYS!$AG$52/12,D$8-3,$M$32),2))+P120),
IF(SYS!$AU$51="4 міс.% далі ануітет",IF(H120&lt;=4,N120,IF(LEN(H121)=0,N120+M120,ROUND(PMT(SYS!$AG$52/12,D$8-4,$M$32),2))+P120))))))</f>
        <v/>
      </c>
      <c r="M120" s="52" t="str">
        <f>IF(LEN(H120)=0,IF(LEN(H119)&gt;0,SUM(M$32:M119)-M$32,""),IF(LEN(H121)=0,SUM(M$32:M119)*-1,L120-N120-P120))</f>
        <v/>
      </c>
      <c r="N120" s="52" t="str">
        <f>IF(LEN(H120)=0,IF(LEN(H119)&gt;0,SUM(N$32:N119),""),ROUND((SUM(M$32:M119)*-1)*SYS!$AG$52/365*КАЛЬКУЛЯТОР!K120,2))</f>
        <v/>
      </c>
      <c r="O120" s="50" t="str">
        <f t="shared" si="31"/>
        <v/>
      </c>
      <c r="P120" s="52" t="str">
        <f>IF(LEN(H120)=0,IF(LEN(H119)&gt;0,SUM(P$32:P119),""),IF(SYS!$AV$51=SYS!$A$2,SUM(КАЛЬКУЛЯТОР!M$32:M119)*-1*$L$10,M$32*-1*L$10))</f>
        <v/>
      </c>
      <c r="Q120" s="53" t="str">
        <f t="shared" si="32"/>
        <v/>
      </c>
      <c r="R120" s="50" t="str">
        <f t="shared" si="33"/>
        <v/>
      </c>
      <c r="S120" s="50" t="str">
        <f t="shared" si="34"/>
        <v/>
      </c>
      <c r="T120" s="50" t="str">
        <f t="shared" si="35"/>
        <v/>
      </c>
      <c r="Y120" s="54" t="str">
        <f t="shared" si="38"/>
        <v/>
      </c>
      <c r="Z120" s="50" t="str">
        <f t="shared" si="23"/>
        <v/>
      </c>
    </row>
    <row r="121" spans="1:26" x14ac:dyDescent="0.2">
      <c r="A121" s="17" t="str">
        <f t="shared" si="22"/>
        <v/>
      </c>
      <c r="B121" s="42" t="str">
        <f t="shared" si="37"/>
        <v/>
      </c>
      <c r="C121" s="17">
        <f t="shared" si="24"/>
        <v>0</v>
      </c>
      <c r="D121" s="17">
        <f t="shared" si="25"/>
        <v>0</v>
      </c>
      <c r="E121" s="17">
        <f t="shared" ca="1" si="26"/>
        <v>3</v>
      </c>
      <c r="F121" s="49">
        <f t="shared" ca="1" si="36"/>
        <v>48906</v>
      </c>
      <c r="G121" s="17">
        <v>89</v>
      </c>
      <c r="H121" s="17" t="str">
        <f t="shared" si="27"/>
        <v/>
      </c>
      <c r="I121" s="50" t="str">
        <f t="shared" si="28"/>
        <v/>
      </c>
      <c r="J121" s="51" t="str">
        <f t="shared" si="29"/>
        <v/>
      </c>
      <c r="K121" s="50" t="str">
        <f t="shared" si="30"/>
        <v/>
      </c>
      <c r="L121" s="52" t="str">
        <f>IF(LEN(H121)=0,IF(LEN(H120)&gt;0,SUM(L$32:L120)-L$32,""),IF(SYS!$AU$51="ануітет",IF(LEN(H122)=0,N121+M121,ROUND(PMT(SYS!$AG$52/12,D$8,$M$32),2))+P121,
IF(SYS!$AU$51="6 міс.% далі ануітет",IF(H121&lt;=6,N121,IF(LEN(H122)=0,N121+M121,ROUND(PMT(SYS!$AG$52/12,D$8-6,$M$32),2))+P121),
IF(SYS!$AU$51="3 міс.% далі ануітет",IF(H121&lt;=3,N121,IF(LEN(H122)=0,N121+M121,ROUND(PMT(SYS!$AG$52/12,D$8-3,$M$32),2))+P121),
IF(SYS!$AU$51="4 міс.% далі ануітет",IF(H121&lt;=4,N121,IF(LEN(H122)=0,N121+M121,ROUND(PMT(SYS!$AG$52/12,D$8-4,$M$32),2))+P121))))))</f>
        <v/>
      </c>
      <c r="M121" s="52" t="str">
        <f>IF(LEN(H121)=0,IF(LEN(H120)&gt;0,SUM(M$32:M120)-M$32,""),IF(LEN(H122)=0,SUM(M$32:M120)*-1,L121-N121-P121))</f>
        <v/>
      </c>
      <c r="N121" s="52" t="str">
        <f>IF(LEN(H121)=0,IF(LEN(H120)&gt;0,SUM(N$32:N120),""),ROUND((SUM(M$32:M120)*-1)*SYS!$AG$52/365*КАЛЬКУЛЯТОР!K121,2))</f>
        <v/>
      </c>
      <c r="O121" s="50" t="str">
        <f t="shared" si="31"/>
        <v/>
      </c>
      <c r="P121" s="52" t="str">
        <f>IF(LEN(H121)=0,IF(LEN(H120)&gt;0,SUM(P$32:P120),""),IF(SYS!$AV$51=SYS!$A$2,SUM(КАЛЬКУЛЯТОР!M$32:M120)*-1*$L$10,M$32*-1*L$10))</f>
        <v/>
      </c>
      <c r="Q121" s="53" t="str">
        <f t="shared" si="32"/>
        <v/>
      </c>
      <c r="R121" s="50" t="str">
        <f t="shared" si="33"/>
        <v/>
      </c>
      <c r="S121" s="50" t="str">
        <f t="shared" si="34"/>
        <v/>
      </c>
      <c r="T121" s="50" t="str">
        <f t="shared" si="35"/>
        <v/>
      </c>
      <c r="Y121" s="54" t="str">
        <f t="shared" si="38"/>
        <v/>
      </c>
      <c r="Z121" s="50" t="str">
        <f t="shared" si="23"/>
        <v/>
      </c>
    </row>
    <row r="122" spans="1:26" x14ac:dyDescent="0.2">
      <c r="A122" s="17" t="str">
        <f t="shared" si="22"/>
        <v/>
      </c>
      <c r="B122" s="42" t="str">
        <f t="shared" si="37"/>
        <v/>
      </c>
      <c r="C122" s="17">
        <f t="shared" si="24"/>
        <v>0</v>
      </c>
      <c r="D122" s="17">
        <f t="shared" si="25"/>
        <v>0</v>
      </c>
      <c r="E122" s="17">
        <f t="shared" ca="1" si="26"/>
        <v>5</v>
      </c>
      <c r="F122" s="49">
        <f t="shared" ca="1" si="36"/>
        <v>48936</v>
      </c>
      <c r="G122" s="17">
        <v>90</v>
      </c>
      <c r="H122" s="17" t="str">
        <f t="shared" si="27"/>
        <v/>
      </c>
      <c r="I122" s="50" t="str">
        <f t="shared" si="28"/>
        <v/>
      </c>
      <c r="J122" s="51" t="str">
        <f t="shared" si="29"/>
        <v/>
      </c>
      <c r="K122" s="50" t="str">
        <f t="shared" si="30"/>
        <v/>
      </c>
      <c r="L122" s="52" t="str">
        <f>IF(LEN(H122)=0,IF(LEN(H121)&gt;0,SUM(L$32:L121)-L$32,""),IF(SYS!$AU$51="ануітет",IF(LEN(H123)=0,N122+M122,ROUND(PMT(SYS!$AG$52/12,D$8,$M$32),2))+P122,
IF(SYS!$AU$51="6 міс.% далі ануітет",IF(H122&lt;=6,N122,IF(LEN(H123)=0,N122+M122,ROUND(PMT(SYS!$AG$52/12,D$8-6,$M$32),2))+P122),
IF(SYS!$AU$51="3 міс.% далі ануітет",IF(H122&lt;=3,N122,IF(LEN(H123)=0,N122+M122,ROUND(PMT(SYS!$AG$52/12,D$8-3,$M$32),2))+P122),
IF(SYS!$AU$51="4 міс.% далі ануітет",IF(H122&lt;=4,N122,IF(LEN(H123)=0,N122+M122,ROUND(PMT(SYS!$AG$52/12,D$8-4,$M$32),2))+P122))))))</f>
        <v/>
      </c>
      <c r="M122" s="52" t="str">
        <f>IF(LEN(H122)=0,IF(LEN(H121)&gt;0,SUM(M$32:M121)-M$32,""),IF(LEN(H123)=0,SUM(M$32:M121)*-1,L122-N122-P122))</f>
        <v/>
      </c>
      <c r="N122" s="52" t="str">
        <f>IF(LEN(H122)=0,IF(LEN(H121)&gt;0,SUM(N$32:N121),""),ROUND((SUM(M$32:M121)*-1)*SYS!$AG$52/365*КАЛЬКУЛЯТОР!K122,2))</f>
        <v/>
      </c>
      <c r="O122" s="50" t="str">
        <f t="shared" si="31"/>
        <v/>
      </c>
      <c r="P122" s="52" t="str">
        <f>IF(LEN(H122)=0,IF(LEN(H121)&gt;0,SUM(P$32:P121),""),IF(SYS!$AV$51=SYS!$A$2,SUM(КАЛЬКУЛЯТОР!M$32:M121)*-1*$L$10,M$32*-1*L$10))</f>
        <v/>
      </c>
      <c r="Q122" s="53" t="str">
        <f t="shared" si="32"/>
        <v/>
      </c>
      <c r="R122" s="50" t="str">
        <f t="shared" si="33"/>
        <v/>
      </c>
      <c r="S122" s="50" t="str">
        <f t="shared" si="34"/>
        <v/>
      </c>
      <c r="T122" s="50" t="str">
        <f t="shared" si="35"/>
        <v/>
      </c>
      <c r="Y122" s="54" t="str">
        <f t="shared" si="38"/>
        <v/>
      </c>
      <c r="Z122" s="50" t="str">
        <f t="shared" si="23"/>
        <v/>
      </c>
    </row>
    <row r="123" spans="1:26" x14ac:dyDescent="0.2">
      <c r="A123" s="17" t="str">
        <f t="shared" si="22"/>
        <v/>
      </c>
      <c r="B123" s="42" t="str">
        <f t="shared" si="37"/>
        <v/>
      </c>
      <c r="C123" s="17">
        <f t="shared" si="24"/>
        <v>0</v>
      </c>
      <c r="D123" s="17">
        <f t="shared" si="25"/>
        <v>0</v>
      </c>
      <c r="E123" s="17">
        <f t="shared" ca="1" si="26"/>
        <v>1</v>
      </c>
      <c r="F123" s="49">
        <f t="shared" ca="1" si="36"/>
        <v>48967</v>
      </c>
      <c r="G123" s="17">
        <v>91</v>
      </c>
      <c r="H123" s="17" t="str">
        <f t="shared" si="27"/>
        <v/>
      </c>
      <c r="I123" s="50" t="str">
        <f t="shared" si="28"/>
        <v/>
      </c>
      <c r="J123" s="51" t="str">
        <f t="shared" si="29"/>
        <v/>
      </c>
      <c r="K123" s="50" t="str">
        <f t="shared" si="30"/>
        <v/>
      </c>
      <c r="L123" s="52" t="str">
        <f>IF(LEN(H123)=0,IF(LEN(H122)&gt;0,SUM(L$32:L122)-L$32,""),IF(SYS!$AU$51="ануітет",IF(LEN(H124)=0,N123+M123,ROUND(PMT(SYS!$AG$52/12,D$8,$M$32),2))+P123,
IF(SYS!$AU$51="6 міс.% далі ануітет",IF(H123&lt;=6,N123,IF(LEN(H124)=0,N123+M123,ROUND(PMT(SYS!$AG$52/12,D$8-6,$M$32),2))+P123),
IF(SYS!$AU$51="3 міс.% далі ануітет",IF(H123&lt;=3,N123,IF(LEN(H124)=0,N123+M123,ROUND(PMT(SYS!$AG$52/12,D$8-3,$M$32),2))+P123),
IF(SYS!$AU$51="4 міс.% далі ануітет",IF(H123&lt;=4,N123,IF(LEN(H124)=0,N123+M123,ROUND(PMT(SYS!$AG$52/12,D$8-4,$M$32),2))+P123))))))</f>
        <v/>
      </c>
      <c r="M123" s="52" t="str">
        <f>IF(LEN(H123)=0,IF(LEN(H122)&gt;0,SUM(M$32:M122)-M$32,""),IF(LEN(H124)=0,SUM(M$32:M122)*-1,L123-N123-P123))</f>
        <v/>
      </c>
      <c r="N123" s="52" t="str">
        <f>IF(LEN(H123)=0,IF(LEN(H122)&gt;0,SUM(N$32:N122),""),ROUND((SUM(M$32:M122)*-1)*SYS!$AG$52/365*КАЛЬКУЛЯТОР!K123,2))</f>
        <v/>
      </c>
      <c r="O123" s="50" t="str">
        <f t="shared" si="31"/>
        <v/>
      </c>
      <c r="P123" s="52" t="str">
        <f>IF(LEN(H123)=0,IF(LEN(H122)&gt;0,SUM(P$32:P122),""),IF(SYS!$AV$51=SYS!$A$2,SUM(КАЛЬКУЛЯТОР!M$32:M122)*-1*$L$10,M$32*-1*L$10))</f>
        <v/>
      </c>
      <c r="Q123" s="53" t="str">
        <f t="shared" si="32"/>
        <v/>
      </c>
      <c r="R123" s="50" t="str">
        <f t="shared" si="33"/>
        <v/>
      </c>
      <c r="S123" s="50" t="str">
        <f t="shared" si="34"/>
        <v/>
      </c>
      <c r="T123" s="50" t="str">
        <f t="shared" si="35"/>
        <v/>
      </c>
      <c r="Y123" s="54" t="str">
        <f t="shared" si="38"/>
        <v/>
      </c>
      <c r="Z123" s="50" t="str">
        <f t="shared" si="23"/>
        <v/>
      </c>
    </row>
    <row r="124" spans="1:26" x14ac:dyDescent="0.2">
      <c r="A124" s="17" t="str">
        <f t="shared" si="22"/>
        <v/>
      </c>
      <c r="B124" s="42" t="str">
        <f t="shared" si="37"/>
        <v/>
      </c>
      <c r="C124" s="17">
        <f t="shared" si="24"/>
        <v>0</v>
      </c>
      <c r="D124" s="17">
        <f t="shared" si="25"/>
        <v>0</v>
      </c>
      <c r="E124" s="17">
        <f t="shared" ca="1" si="26"/>
        <v>4</v>
      </c>
      <c r="F124" s="49">
        <f t="shared" ca="1" si="36"/>
        <v>48998</v>
      </c>
      <c r="G124" s="17">
        <v>92</v>
      </c>
      <c r="H124" s="17" t="str">
        <f t="shared" si="27"/>
        <v/>
      </c>
      <c r="I124" s="50" t="str">
        <f t="shared" si="28"/>
        <v/>
      </c>
      <c r="J124" s="51" t="str">
        <f t="shared" si="29"/>
        <v/>
      </c>
      <c r="K124" s="50" t="str">
        <f t="shared" si="30"/>
        <v/>
      </c>
      <c r="L124" s="52" t="str">
        <f>IF(LEN(H124)=0,IF(LEN(H123)&gt;0,SUM(L$32:L123)-L$32,""),IF(SYS!$AU$51="ануітет",IF(LEN(H125)=0,N124+M124,ROUND(PMT(SYS!$AG$52/12,D$8,$M$32),2))+P124,
IF(SYS!$AU$51="6 міс.% далі ануітет",IF(H124&lt;=6,N124,IF(LEN(H125)=0,N124+M124,ROUND(PMT(SYS!$AG$52/12,D$8-6,$M$32),2))+P124),
IF(SYS!$AU$51="3 міс.% далі ануітет",IF(H124&lt;=3,N124,IF(LEN(H125)=0,N124+M124,ROUND(PMT(SYS!$AG$52/12,D$8-3,$M$32),2))+P124),
IF(SYS!$AU$51="4 міс.% далі ануітет",IF(H124&lt;=4,N124,IF(LEN(H125)=0,N124+M124,ROUND(PMT(SYS!$AG$52/12,D$8-4,$M$32),2))+P124))))))</f>
        <v/>
      </c>
      <c r="M124" s="52" t="str">
        <f>IF(LEN(H124)=0,IF(LEN(H123)&gt;0,SUM(M$32:M123)-M$32,""),IF(LEN(H125)=0,SUM(M$32:M123)*-1,L124-N124-P124))</f>
        <v/>
      </c>
      <c r="N124" s="52" t="str">
        <f>IF(LEN(H124)=0,IF(LEN(H123)&gt;0,SUM(N$32:N123),""),ROUND((SUM(M$32:M123)*-1)*SYS!$AG$52/365*КАЛЬКУЛЯТОР!K124,2))</f>
        <v/>
      </c>
      <c r="O124" s="50" t="str">
        <f t="shared" si="31"/>
        <v/>
      </c>
      <c r="P124" s="52" t="str">
        <f>IF(LEN(H124)=0,IF(LEN(H123)&gt;0,SUM(P$32:P123),""),IF(SYS!$AV$51=SYS!$A$2,SUM(КАЛЬКУЛЯТОР!M$32:M123)*-1*$L$10,M$32*-1*L$10))</f>
        <v/>
      </c>
      <c r="Q124" s="53" t="str">
        <f t="shared" si="32"/>
        <v/>
      </c>
      <c r="R124" s="50" t="str">
        <f t="shared" si="33"/>
        <v/>
      </c>
      <c r="S124" s="50" t="str">
        <f t="shared" si="34"/>
        <v/>
      </c>
      <c r="T124" s="50" t="str">
        <f t="shared" si="35"/>
        <v/>
      </c>
      <c r="Y124" s="54" t="str">
        <f t="shared" si="38"/>
        <v/>
      </c>
      <c r="Z124" s="50" t="str">
        <f t="shared" si="23"/>
        <v/>
      </c>
    </row>
    <row r="125" spans="1:26" x14ac:dyDescent="0.2">
      <c r="A125" s="17" t="str">
        <f t="shared" si="22"/>
        <v/>
      </c>
      <c r="B125" s="42" t="str">
        <f t="shared" si="37"/>
        <v/>
      </c>
      <c r="C125" s="17">
        <f t="shared" si="24"/>
        <v>0</v>
      </c>
      <c r="D125" s="17">
        <f t="shared" si="25"/>
        <v>0</v>
      </c>
      <c r="E125" s="17">
        <f t="shared" ca="1" si="26"/>
        <v>4</v>
      </c>
      <c r="F125" s="49">
        <f t="shared" ca="1" si="36"/>
        <v>49026</v>
      </c>
      <c r="G125" s="17">
        <v>93</v>
      </c>
      <c r="H125" s="17" t="str">
        <f t="shared" si="27"/>
        <v/>
      </c>
      <c r="I125" s="50" t="str">
        <f t="shared" si="28"/>
        <v/>
      </c>
      <c r="J125" s="51" t="str">
        <f t="shared" si="29"/>
        <v/>
      </c>
      <c r="K125" s="50" t="str">
        <f t="shared" si="30"/>
        <v/>
      </c>
      <c r="L125" s="52" t="str">
        <f>IF(LEN(H125)=0,IF(LEN(H124)&gt;0,SUM(L$32:L124)-L$32,""),IF(SYS!$AU$51="ануітет",IF(LEN(H126)=0,N125+M125,ROUND(PMT(SYS!$AG$52/12,D$8,$M$32),2))+P125,
IF(SYS!$AU$51="6 міс.% далі ануітет",IF(H125&lt;=6,N125,IF(LEN(H126)=0,N125+M125,ROUND(PMT(SYS!$AG$52/12,D$8-6,$M$32),2))+P125),
IF(SYS!$AU$51="3 міс.% далі ануітет",IF(H125&lt;=3,N125,IF(LEN(H126)=0,N125+M125,ROUND(PMT(SYS!$AG$52/12,D$8-3,$M$32),2))+P125),
IF(SYS!$AU$51="4 міс.% далі ануітет",IF(H125&lt;=4,N125,IF(LEN(H126)=0,N125+M125,ROUND(PMT(SYS!$AG$52/12,D$8-4,$M$32),2))+P125))))))</f>
        <v/>
      </c>
      <c r="M125" s="52" t="str">
        <f>IF(LEN(H125)=0,IF(LEN(H124)&gt;0,SUM(M$32:M124)-M$32,""),IF(LEN(H126)=0,SUM(M$32:M124)*-1,L125-N125-P125))</f>
        <v/>
      </c>
      <c r="N125" s="52" t="str">
        <f>IF(LEN(H125)=0,IF(LEN(H124)&gt;0,SUM(N$32:N124),""),ROUND((SUM(M$32:M124)*-1)*SYS!$AG$52/365*КАЛЬКУЛЯТОР!K125,2))</f>
        <v/>
      </c>
      <c r="O125" s="50" t="str">
        <f t="shared" si="31"/>
        <v/>
      </c>
      <c r="P125" s="52" t="str">
        <f>IF(LEN(H125)=0,IF(LEN(H124)&gt;0,SUM(P$32:P124),""),IF(SYS!$AV$51=SYS!$A$2,SUM(КАЛЬКУЛЯТОР!M$32:M124)*-1*$L$10,M$32*-1*L$10))</f>
        <v/>
      </c>
      <c r="Q125" s="53" t="str">
        <f t="shared" si="32"/>
        <v/>
      </c>
      <c r="R125" s="50" t="str">
        <f t="shared" si="33"/>
        <v/>
      </c>
      <c r="S125" s="50" t="str">
        <f t="shared" si="34"/>
        <v/>
      </c>
      <c r="T125" s="50" t="str">
        <f t="shared" si="35"/>
        <v/>
      </c>
      <c r="Y125" s="54" t="str">
        <f t="shared" si="38"/>
        <v/>
      </c>
      <c r="Z125" s="50" t="str">
        <f t="shared" si="23"/>
        <v/>
      </c>
    </row>
    <row r="126" spans="1:26" x14ac:dyDescent="0.2">
      <c r="A126" s="17" t="str">
        <f t="shared" si="22"/>
        <v/>
      </c>
      <c r="B126" s="42" t="str">
        <f t="shared" si="37"/>
        <v/>
      </c>
      <c r="C126" s="17">
        <f t="shared" si="24"/>
        <v>0</v>
      </c>
      <c r="D126" s="17">
        <f t="shared" si="25"/>
        <v>0</v>
      </c>
      <c r="E126" s="17">
        <f t="shared" ca="1" si="26"/>
        <v>7</v>
      </c>
      <c r="F126" s="49">
        <f t="shared" ca="1" si="36"/>
        <v>49057</v>
      </c>
      <c r="G126" s="17">
        <v>94</v>
      </c>
      <c r="H126" s="17" t="str">
        <f t="shared" si="27"/>
        <v/>
      </c>
      <c r="I126" s="50" t="str">
        <f t="shared" si="28"/>
        <v/>
      </c>
      <c r="J126" s="51" t="str">
        <f t="shared" si="29"/>
        <v/>
      </c>
      <c r="K126" s="50" t="str">
        <f t="shared" si="30"/>
        <v/>
      </c>
      <c r="L126" s="52" t="str">
        <f>IF(LEN(H126)=0,IF(LEN(H125)&gt;0,SUM(L$32:L125)-L$32,""),IF(SYS!$AU$51="ануітет",IF(LEN(H127)=0,N126+M126,ROUND(PMT(SYS!$AG$52/12,D$8,$M$32),2))+P126,
IF(SYS!$AU$51="6 міс.% далі ануітет",IF(H126&lt;=6,N126,IF(LEN(H127)=0,N126+M126,ROUND(PMT(SYS!$AG$52/12,D$8-6,$M$32),2))+P126),
IF(SYS!$AU$51="3 міс.% далі ануітет",IF(H126&lt;=3,N126,IF(LEN(H127)=0,N126+M126,ROUND(PMT(SYS!$AG$52/12,D$8-3,$M$32),2))+P126),
IF(SYS!$AU$51="4 міс.% далі ануітет",IF(H126&lt;=4,N126,IF(LEN(H127)=0,N126+M126,ROUND(PMT(SYS!$AG$52/12,D$8-4,$M$32),2))+P126))))))</f>
        <v/>
      </c>
      <c r="M126" s="52" t="str">
        <f>IF(LEN(H126)=0,IF(LEN(H125)&gt;0,SUM(M$32:M125)-M$32,""),IF(LEN(H127)=0,SUM(M$32:M125)*-1,L126-N126-P126))</f>
        <v/>
      </c>
      <c r="N126" s="52" t="str">
        <f>IF(LEN(H126)=0,IF(LEN(H125)&gt;0,SUM(N$32:N125),""),ROUND((SUM(M$32:M125)*-1)*SYS!$AG$52/365*КАЛЬКУЛЯТОР!K126,2))</f>
        <v/>
      </c>
      <c r="O126" s="50" t="str">
        <f t="shared" si="31"/>
        <v/>
      </c>
      <c r="P126" s="52" t="str">
        <f>IF(LEN(H126)=0,IF(LEN(H125)&gt;0,SUM(P$32:P125),""),IF(SYS!$AV$51=SYS!$A$2,SUM(КАЛЬКУЛЯТОР!M$32:M125)*-1*$L$10,M$32*-1*L$10))</f>
        <v/>
      </c>
      <c r="Q126" s="53" t="str">
        <f t="shared" si="32"/>
        <v/>
      </c>
      <c r="R126" s="50" t="str">
        <f t="shared" si="33"/>
        <v/>
      </c>
      <c r="S126" s="50" t="str">
        <f t="shared" si="34"/>
        <v/>
      </c>
      <c r="T126" s="50" t="str">
        <f t="shared" si="35"/>
        <v/>
      </c>
      <c r="Y126" s="54" t="str">
        <f t="shared" si="38"/>
        <v/>
      </c>
      <c r="Z126" s="50" t="str">
        <f t="shared" si="23"/>
        <v/>
      </c>
    </row>
    <row r="127" spans="1:26" x14ac:dyDescent="0.2">
      <c r="A127" s="17" t="str">
        <f t="shared" si="22"/>
        <v/>
      </c>
      <c r="B127" s="42" t="str">
        <f t="shared" si="37"/>
        <v/>
      </c>
      <c r="C127" s="17">
        <f t="shared" si="24"/>
        <v>0</v>
      </c>
      <c r="D127" s="17">
        <f t="shared" si="25"/>
        <v>0</v>
      </c>
      <c r="E127" s="17">
        <f t="shared" ca="1" si="26"/>
        <v>2</v>
      </c>
      <c r="F127" s="49">
        <f t="shared" ca="1" si="36"/>
        <v>49087</v>
      </c>
      <c r="G127" s="17">
        <v>95</v>
      </c>
      <c r="H127" s="17" t="str">
        <f t="shared" si="27"/>
        <v/>
      </c>
      <c r="I127" s="50" t="str">
        <f t="shared" si="28"/>
        <v/>
      </c>
      <c r="J127" s="51" t="str">
        <f t="shared" si="29"/>
        <v/>
      </c>
      <c r="K127" s="50" t="str">
        <f t="shared" si="30"/>
        <v/>
      </c>
      <c r="L127" s="52" t="str">
        <f>IF(LEN(H127)=0,IF(LEN(H126)&gt;0,SUM(L$32:L126)-L$32,""),IF(SYS!$AU$51="ануітет",IF(LEN(H128)=0,N127+M127,ROUND(PMT(SYS!$AG$52/12,D$8,$M$32),2))+P127,
IF(SYS!$AU$51="6 міс.% далі ануітет",IF(H127&lt;=6,N127,IF(LEN(H128)=0,N127+M127,ROUND(PMT(SYS!$AG$52/12,D$8-6,$M$32),2))+P127),
IF(SYS!$AU$51="3 міс.% далі ануітет",IF(H127&lt;=3,N127,IF(LEN(H128)=0,N127+M127,ROUND(PMT(SYS!$AG$52/12,D$8-3,$M$32),2))+P127),
IF(SYS!$AU$51="4 міс.% далі ануітет",IF(H127&lt;=4,N127,IF(LEN(H128)=0,N127+M127,ROUND(PMT(SYS!$AG$52/12,D$8-4,$M$32),2))+P127))))))</f>
        <v/>
      </c>
      <c r="M127" s="52" t="str">
        <f>IF(LEN(H127)=0,IF(LEN(H126)&gt;0,SUM(M$32:M126)-M$32,""),IF(LEN(H128)=0,SUM(M$32:M126)*-1,L127-N127-P127))</f>
        <v/>
      </c>
      <c r="N127" s="52" t="str">
        <f>IF(LEN(H127)=0,IF(LEN(H126)&gt;0,SUM(N$32:N126),""),ROUND((SUM(M$32:M126)*-1)*SYS!$AG$52/365*КАЛЬКУЛЯТОР!K127,2))</f>
        <v/>
      </c>
      <c r="O127" s="50" t="str">
        <f t="shared" si="31"/>
        <v/>
      </c>
      <c r="P127" s="52" t="str">
        <f>IF(LEN(H127)=0,IF(LEN(H126)&gt;0,SUM(P$32:P126),""),IF(SYS!$AV$51=SYS!$A$2,SUM(КАЛЬКУЛЯТОР!M$32:M126)*-1*$L$10,M$32*-1*L$10))</f>
        <v/>
      </c>
      <c r="Q127" s="53" t="str">
        <f t="shared" si="32"/>
        <v/>
      </c>
      <c r="R127" s="50" t="str">
        <f t="shared" si="33"/>
        <v/>
      </c>
      <c r="S127" s="50" t="str">
        <f t="shared" si="34"/>
        <v/>
      </c>
      <c r="T127" s="50" t="str">
        <f t="shared" si="35"/>
        <v/>
      </c>
      <c r="Y127" s="54" t="str">
        <f t="shared" si="38"/>
        <v/>
      </c>
      <c r="Z127" s="50" t="str">
        <f t="shared" si="23"/>
        <v/>
      </c>
    </row>
    <row r="128" spans="1:26" x14ac:dyDescent="0.2">
      <c r="A128" s="17" t="str">
        <f t="shared" si="22"/>
        <v/>
      </c>
      <c r="B128" s="42" t="str">
        <f t="shared" si="37"/>
        <v/>
      </c>
      <c r="C128" s="17">
        <f t="shared" si="24"/>
        <v>0</v>
      </c>
      <c r="D128" s="17">
        <f t="shared" si="25"/>
        <v>0</v>
      </c>
      <c r="E128" s="17">
        <f t="shared" ca="1" si="26"/>
        <v>5</v>
      </c>
      <c r="F128" s="49">
        <f t="shared" ca="1" si="36"/>
        <v>49118</v>
      </c>
      <c r="G128" s="17">
        <v>96</v>
      </c>
      <c r="H128" s="17" t="str">
        <f t="shared" si="27"/>
        <v/>
      </c>
      <c r="I128" s="50" t="str">
        <f t="shared" si="28"/>
        <v/>
      </c>
      <c r="J128" s="51" t="str">
        <f t="shared" si="29"/>
        <v/>
      </c>
      <c r="K128" s="50" t="str">
        <f t="shared" si="30"/>
        <v/>
      </c>
      <c r="L128" s="52" t="str">
        <f>IF(LEN(H128)=0,IF(LEN(H127)&gt;0,SUM(L$32:L127)-L$32,""),IF(SYS!$AU$51="ануітет",IF(LEN(H129)=0,N128+M128,ROUND(PMT(SYS!$AG$52/12,D$8,$M$32),2))+P128,
IF(SYS!$AU$51="6 міс.% далі ануітет",IF(H128&lt;=6,N128,IF(LEN(H129)=0,N128+M128,ROUND(PMT(SYS!$AG$52/12,D$8-6,$M$32),2))+P128),
IF(SYS!$AU$51="3 міс.% далі ануітет",IF(H128&lt;=3,N128,IF(LEN(H129)=0,N128+M128,ROUND(PMT(SYS!$AG$52/12,D$8-3,$M$32),2))+P128),
IF(SYS!$AU$51="4 міс.% далі ануітет",IF(H128&lt;=4,N128,IF(LEN(H129)=0,N128+M128,ROUND(PMT(SYS!$AG$52/12,D$8-4,$M$32),2))+P128))))))</f>
        <v/>
      </c>
      <c r="M128" s="52" t="str">
        <f>IF(LEN(H128)=0,IF(LEN(H127)&gt;0,SUM(M$32:M127)-M$32,""),IF(LEN(H129)=0,SUM(M$32:M127)*-1,L128-N128-P128))</f>
        <v/>
      </c>
      <c r="N128" s="52" t="str">
        <f>IF(LEN(H128)=0,IF(LEN(H127)&gt;0,SUM(N$32:N127),""),ROUND((SUM(M$32:M127)*-1)*SYS!$AG$52/365*КАЛЬКУЛЯТОР!K128,2))</f>
        <v/>
      </c>
      <c r="O128" s="50" t="str">
        <f t="shared" si="31"/>
        <v/>
      </c>
      <c r="P128" s="52" t="str">
        <f>IF(LEN(H128)=0,IF(LEN(H127)&gt;0,SUM(P$32:P127),""),IF(SYS!$AV$51=SYS!$A$2,SUM(КАЛЬКУЛЯТОР!M$32:M127)*-1*$L$10,M$32*-1*L$10))</f>
        <v/>
      </c>
      <c r="Q128" s="53" t="str">
        <f t="shared" si="32"/>
        <v/>
      </c>
      <c r="R128" s="50" t="str">
        <f t="shared" si="33"/>
        <v/>
      </c>
      <c r="S128" s="50" t="str">
        <f t="shared" si="34"/>
        <v/>
      </c>
      <c r="T128" s="50" t="str">
        <f t="shared" si="35"/>
        <v/>
      </c>
      <c r="Y128" s="54" t="str">
        <f t="shared" si="38"/>
        <v/>
      </c>
      <c r="Z128" s="50" t="str">
        <f t="shared" si="23"/>
        <v/>
      </c>
    </row>
    <row r="129" spans="1:26" x14ac:dyDescent="0.2">
      <c r="A129" s="17" t="str">
        <f t="shared" si="22"/>
        <v/>
      </c>
      <c r="B129" s="42" t="str">
        <f t="shared" si="37"/>
        <v/>
      </c>
      <c r="C129" s="17">
        <f t="shared" si="24"/>
        <v>0</v>
      </c>
      <c r="D129" s="17">
        <f t="shared" si="25"/>
        <v>0</v>
      </c>
      <c r="E129" s="17">
        <f t="shared" ca="1" si="26"/>
        <v>7</v>
      </c>
      <c r="F129" s="49">
        <f t="shared" ca="1" si="36"/>
        <v>49148</v>
      </c>
      <c r="G129" s="17">
        <v>97</v>
      </c>
      <c r="H129" s="17" t="str">
        <f t="shared" si="27"/>
        <v/>
      </c>
      <c r="I129" s="50" t="str">
        <f t="shared" si="28"/>
        <v/>
      </c>
      <c r="J129" s="51" t="str">
        <f t="shared" si="29"/>
        <v/>
      </c>
      <c r="K129" s="50" t="str">
        <f t="shared" si="30"/>
        <v/>
      </c>
      <c r="L129" s="52" t="str">
        <f>IF(LEN(H129)=0,IF(LEN(H128)&gt;0,SUM(L$32:L128)-L$32,""),IF(SYS!$AU$51="ануітет",IF(LEN(H130)=0,N129+M129,ROUND(PMT(SYS!$AG$52/12,D$8,$M$32),2))+P129,
IF(SYS!$AU$51="6 міс.% далі ануітет",IF(H129&lt;=6,N129,IF(LEN(H130)=0,N129+M129,ROUND(PMT(SYS!$AG$52/12,D$8-6,$M$32),2))+P129),
IF(SYS!$AU$51="3 міс.% далі ануітет",IF(H129&lt;=3,N129,IF(LEN(H130)=0,N129+M129,ROUND(PMT(SYS!$AG$52/12,D$8-3,$M$32),2))+P129),
IF(SYS!$AU$51="4 міс.% далі ануітет",IF(H129&lt;=4,N129,IF(LEN(H130)=0,N129+M129,ROUND(PMT(SYS!$AG$52/12,D$8-4,$M$32),2))+P129))))))</f>
        <v/>
      </c>
      <c r="M129" s="52" t="str">
        <f>IF(LEN(H129)=0,IF(LEN(H128)&gt;0,SUM(M$32:M128)-M$32,""),IF(LEN(H130)=0,SUM(M$32:M128)*-1,L129-N129-P129))</f>
        <v/>
      </c>
      <c r="N129" s="52" t="str">
        <f>IF(LEN(H129)=0,IF(LEN(H128)&gt;0,SUM(N$32:N128),""),ROUND((SUM(M$32:M128)*-1)*SYS!$AG$52/365*КАЛЬКУЛЯТОР!K129,2))</f>
        <v/>
      </c>
      <c r="O129" s="50" t="str">
        <f t="shared" si="31"/>
        <v/>
      </c>
      <c r="P129" s="52" t="str">
        <f>IF(LEN(H129)=0,IF(LEN(H128)&gt;0,SUM(P$32:P128),""),IF(SYS!$AV$51=SYS!$A$2,SUM(КАЛЬКУЛЯТОР!M$32:M128)*-1*$L$10,M$32*-1*L$10))</f>
        <v/>
      </c>
      <c r="Q129" s="53" t="str">
        <f t="shared" si="32"/>
        <v/>
      </c>
      <c r="R129" s="50" t="str">
        <f t="shared" si="33"/>
        <v/>
      </c>
      <c r="S129" s="50" t="str">
        <f t="shared" si="34"/>
        <v/>
      </c>
      <c r="T129" s="50" t="str">
        <f t="shared" si="35"/>
        <v/>
      </c>
      <c r="Y129" s="54" t="str">
        <f t="shared" si="38"/>
        <v/>
      </c>
      <c r="Z129" s="50" t="str">
        <f t="shared" ref="Z129:Z152" si="39">IF(LEN(H129)=0,IF(LEN(H128)&gt;0,$L$23,""),"Х")</f>
        <v/>
      </c>
    </row>
    <row r="130" spans="1:26" x14ac:dyDescent="0.2">
      <c r="A130" s="17" t="str">
        <f t="shared" si="22"/>
        <v/>
      </c>
      <c r="B130" s="42" t="str">
        <f t="shared" si="37"/>
        <v/>
      </c>
      <c r="C130" s="17">
        <f t="shared" si="24"/>
        <v>0</v>
      </c>
      <c r="D130" s="17">
        <f t="shared" si="25"/>
        <v>0</v>
      </c>
      <c r="E130" s="17">
        <f t="shared" ca="1" si="26"/>
        <v>3</v>
      </c>
      <c r="F130" s="49">
        <f t="shared" ca="1" si="36"/>
        <v>49179</v>
      </c>
      <c r="G130" s="17">
        <v>98</v>
      </c>
      <c r="H130" s="17" t="str">
        <f t="shared" si="27"/>
        <v/>
      </c>
      <c r="I130" s="50" t="str">
        <f t="shared" si="28"/>
        <v/>
      </c>
      <c r="J130" s="51" t="str">
        <f t="shared" si="29"/>
        <v/>
      </c>
      <c r="K130" s="50" t="str">
        <f t="shared" si="30"/>
        <v/>
      </c>
      <c r="L130" s="52" t="str">
        <f>IF(LEN(H130)=0,IF(LEN(H129)&gt;0,SUM(L$32:L129)-L$32,""),IF(SYS!$AU$51="ануітет",IF(LEN(H131)=0,N130+M130,ROUND(PMT(SYS!$AG$52/12,D$8,$M$32),2))+P130,
IF(SYS!$AU$51="6 міс.% далі ануітет",IF(H130&lt;=6,N130,IF(LEN(H131)=0,N130+M130,ROUND(PMT(SYS!$AG$52/12,D$8-6,$M$32),2))+P130),
IF(SYS!$AU$51="3 міс.% далі ануітет",IF(H130&lt;=3,N130,IF(LEN(H131)=0,N130+M130,ROUND(PMT(SYS!$AG$52/12,D$8-3,$M$32),2))+P130),
IF(SYS!$AU$51="4 міс.% далі ануітет",IF(H130&lt;=4,N130,IF(LEN(H131)=0,N130+M130,ROUND(PMT(SYS!$AG$52/12,D$8-4,$M$32),2))+P130))))))</f>
        <v/>
      </c>
      <c r="M130" s="52" t="str">
        <f>IF(LEN(H130)=0,IF(LEN(H129)&gt;0,SUM(M$32:M129)-M$32,""),IF(LEN(H131)=0,SUM(M$32:M129)*-1,L130-N130-P130))</f>
        <v/>
      </c>
      <c r="N130" s="52" t="str">
        <f>IF(LEN(H130)=0,IF(LEN(H129)&gt;0,SUM(N$32:N129),""),ROUND((SUM(M$32:M129)*-1)*SYS!$AG$52/365*КАЛЬКУЛЯТОР!K130,2))</f>
        <v/>
      </c>
      <c r="O130" s="50" t="str">
        <f t="shared" si="31"/>
        <v/>
      </c>
      <c r="P130" s="52" t="str">
        <f>IF(LEN(H130)=0,IF(LEN(H129)&gt;0,SUM(P$32:P129),""),IF(SYS!$AV$51=SYS!$A$2,SUM(КАЛЬКУЛЯТОР!M$32:M129)*-1*$L$10,M$32*-1*L$10))</f>
        <v/>
      </c>
      <c r="Q130" s="53" t="str">
        <f t="shared" si="32"/>
        <v/>
      </c>
      <c r="R130" s="50" t="str">
        <f t="shared" si="33"/>
        <v/>
      </c>
      <c r="S130" s="50" t="str">
        <f t="shared" si="34"/>
        <v/>
      </c>
      <c r="T130" s="50" t="str">
        <f t="shared" si="35"/>
        <v/>
      </c>
      <c r="Y130" s="54" t="str">
        <f t="shared" si="38"/>
        <v/>
      </c>
      <c r="Z130" s="50" t="str">
        <f t="shared" si="39"/>
        <v/>
      </c>
    </row>
    <row r="131" spans="1:26" x14ac:dyDescent="0.2">
      <c r="A131" s="17" t="str">
        <f t="shared" si="22"/>
        <v/>
      </c>
      <c r="B131" s="42" t="str">
        <f t="shared" si="37"/>
        <v/>
      </c>
      <c r="C131" s="17">
        <f t="shared" si="24"/>
        <v>0</v>
      </c>
      <c r="D131" s="17">
        <f t="shared" si="25"/>
        <v>0</v>
      </c>
      <c r="E131" s="17">
        <f t="shared" ca="1" si="26"/>
        <v>6</v>
      </c>
      <c r="F131" s="49">
        <f t="shared" ca="1" si="36"/>
        <v>49210</v>
      </c>
      <c r="G131" s="17">
        <v>99</v>
      </c>
      <c r="H131" s="17" t="str">
        <f t="shared" si="27"/>
        <v/>
      </c>
      <c r="I131" s="50" t="str">
        <f t="shared" si="28"/>
        <v/>
      </c>
      <c r="J131" s="51" t="str">
        <f t="shared" si="29"/>
        <v/>
      </c>
      <c r="K131" s="50" t="str">
        <f t="shared" si="30"/>
        <v/>
      </c>
      <c r="L131" s="52" t="str">
        <f>IF(LEN(H131)=0,IF(LEN(H130)&gt;0,SUM(L$32:L130)-L$32,""),IF(SYS!$AU$51="ануітет",IF(LEN(H132)=0,N131+M131,ROUND(PMT(SYS!$AG$52/12,D$8,$M$32),2))+P131,
IF(SYS!$AU$51="6 міс.% далі ануітет",IF(H131&lt;=6,N131,IF(LEN(H132)=0,N131+M131,ROUND(PMT(SYS!$AG$52/12,D$8-6,$M$32),2))+P131),
IF(SYS!$AU$51="3 міс.% далі ануітет",IF(H131&lt;=3,N131,IF(LEN(H132)=0,N131+M131,ROUND(PMT(SYS!$AG$52/12,D$8-3,$M$32),2))+P131),
IF(SYS!$AU$51="4 міс.% далі ануітет",IF(H131&lt;=4,N131,IF(LEN(H132)=0,N131+M131,ROUND(PMT(SYS!$AG$52/12,D$8-4,$M$32),2))+P131))))))</f>
        <v/>
      </c>
      <c r="M131" s="52" t="str">
        <f>IF(LEN(H131)=0,IF(LEN(H130)&gt;0,SUM(M$32:M130)-M$32,""),IF(LEN(H132)=0,SUM(M$32:M130)*-1,L131-N131-P131))</f>
        <v/>
      </c>
      <c r="N131" s="52" t="str">
        <f>IF(LEN(H131)=0,IF(LEN(H130)&gt;0,SUM(N$32:N130),""),ROUND((SUM(M$32:M130)*-1)*SYS!$AG$52/365*КАЛЬКУЛЯТОР!K131,2))</f>
        <v/>
      </c>
      <c r="O131" s="50" t="str">
        <f t="shared" si="31"/>
        <v/>
      </c>
      <c r="P131" s="52" t="str">
        <f>IF(LEN(H131)=0,IF(LEN(H130)&gt;0,SUM(P$32:P130),""),IF(SYS!$AV$51=SYS!$A$2,SUM(КАЛЬКУЛЯТОР!M$32:M130)*-1*$L$10,M$32*-1*L$10))</f>
        <v/>
      </c>
      <c r="Q131" s="53" t="str">
        <f t="shared" si="32"/>
        <v/>
      </c>
      <c r="R131" s="50" t="str">
        <f t="shared" si="33"/>
        <v/>
      </c>
      <c r="S131" s="50" t="str">
        <f t="shared" si="34"/>
        <v/>
      </c>
      <c r="T131" s="50" t="str">
        <f t="shared" si="35"/>
        <v/>
      </c>
      <c r="Y131" s="54" t="str">
        <f t="shared" si="38"/>
        <v/>
      </c>
      <c r="Z131" s="50" t="str">
        <f t="shared" si="39"/>
        <v/>
      </c>
    </row>
    <row r="132" spans="1:26" x14ac:dyDescent="0.2">
      <c r="A132" s="17" t="str">
        <f t="shared" si="22"/>
        <v/>
      </c>
      <c r="B132" s="42" t="str">
        <f t="shared" si="37"/>
        <v/>
      </c>
      <c r="C132" s="17">
        <f t="shared" si="24"/>
        <v>0</v>
      </c>
      <c r="D132" s="17">
        <f t="shared" si="25"/>
        <v>0</v>
      </c>
      <c r="E132" s="17">
        <f t="shared" ca="1" si="26"/>
        <v>1</v>
      </c>
      <c r="F132" s="49">
        <f t="shared" ca="1" si="36"/>
        <v>49240</v>
      </c>
      <c r="G132" s="17">
        <v>100</v>
      </c>
      <c r="H132" s="17" t="str">
        <f t="shared" si="27"/>
        <v/>
      </c>
      <c r="I132" s="50" t="str">
        <f t="shared" si="28"/>
        <v/>
      </c>
      <c r="J132" s="51" t="str">
        <f t="shared" si="29"/>
        <v/>
      </c>
      <c r="K132" s="50" t="str">
        <f t="shared" si="30"/>
        <v/>
      </c>
      <c r="L132" s="52" t="str">
        <f>IF(LEN(H132)=0,IF(LEN(H131)&gt;0,SUM(L$32:L131)-L$32,""),IF(SYS!$AU$51="ануітет",IF(LEN(H133)=0,N132+M132,ROUND(PMT(SYS!$AG$52/12,D$8,$M$32),2))+P132,
IF(SYS!$AU$51="6 міс.% далі ануітет",IF(H132&lt;=6,N132,IF(LEN(H133)=0,N132+M132,ROUND(PMT(SYS!$AG$52/12,D$8-6,$M$32),2))+P132),
IF(SYS!$AU$51="3 міс.% далі ануітет",IF(H132&lt;=3,N132,IF(LEN(H133)=0,N132+M132,ROUND(PMT(SYS!$AG$52/12,D$8-3,$M$32),2))+P132),
IF(SYS!$AU$51="4 міс.% далі ануітет",IF(H132&lt;=4,N132,IF(LEN(H133)=0,N132+M132,ROUND(PMT(SYS!$AG$52/12,D$8-4,$M$32),2))+P132))))))</f>
        <v/>
      </c>
      <c r="M132" s="52" t="str">
        <f>IF(LEN(H132)=0,IF(LEN(H131)&gt;0,SUM(M$32:M131)-M$32,""),IF(LEN(H133)=0,SUM(M$32:M131)*-1,L132-N132-P132))</f>
        <v/>
      </c>
      <c r="N132" s="52" t="str">
        <f>IF(LEN(H132)=0,IF(LEN(H131)&gt;0,SUM(N$32:N131),""),ROUND((SUM(M$32:M131)*-1)*SYS!$AG$52/365*КАЛЬКУЛЯТОР!K132,2))</f>
        <v/>
      </c>
      <c r="O132" s="50" t="str">
        <f t="shared" si="31"/>
        <v/>
      </c>
      <c r="P132" s="52" t="str">
        <f>IF(LEN(H132)=0,IF(LEN(H131)&gt;0,SUM(P$32:P131),""),IF(SYS!$AV$51=SYS!$A$2,SUM(КАЛЬКУЛЯТОР!M$32:M131)*-1*$L$10,M$32*-1*L$10))</f>
        <v/>
      </c>
      <c r="Q132" s="53" t="str">
        <f t="shared" si="32"/>
        <v/>
      </c>
      <c r="R132" s="50" t="str">
        <f t="shared" si="33"/>
        <v/>
      </c>
      <c r="S132" s="50" t="str">
        <f t="shared" si="34"/>
        <v/>
      </c>
      <c r="T132" s="50" t="str">
        <f t="shared" si="35"/>
        <v/>
      </c>
      <c r="Y132" s="54" t="str">
        <f t="shared" si="38"/>
        <v/>
      </c>
      <c r="Z132" s="50" t="str">
        <f t="shared" si="39"/>
        <v/>
      </c>
    </row>
    <row r="133" spans="1:26" x14ac:dyDescent="0.2">
      <c r="A133" s="17" t="str">
        <f t="shared" si="22"/>
        <v/>
      </c>
      <c r="B133" s="42" t="str">
        <f t="shared" si="37"/>
        <v/>
      </c>
      <c r="C133" s="17">
        <f t="shared" si="24"/>
        <v>0</v>
      </c>
      <c r="D133" s="17">
        <f t="shared" si="25"/>
        <v>0</v>
      </c>
      <c r="E133" s="17">
        <f t="shared" ca="1" si="26"/>
        <v>4</v>
      </c>
      <c r="F133" s="49">
        <f t="shared" ca="1" si="36"/>
        <v>49271</v>
      </c>
      <c r="G133" s="17">
        <v>101</v>
      </c>
      <c r="H133" s="17" t="str">
        <f t="shared" si="27"/>
        <v/>
      </c>
      <c r="I133" s="50" t="str">
        <f t="shared" si="28"/>
        <v/>
      </c>
      <c r="J133" s="51" t="str">
        <f t="shared" si="29"/>
        <v/>
      </c>
      <c r="K133" s="50" t="str">
        <f t="shared" si="30"/>
        <v/>
      </c>
      <c r="L133" s="52" t="str">
        <f>IF(LEN(H133)=0,IF(LEN(H132)&gt;0,SUM(L$32:L132)-L$32,""),IF(SYS!$AU$51="ануітет",IF(LEN(H134)=0,N133+M133,ROUND(PMT(SYS!$AG$52/12,D$8,$M$32),2))+P133,
IF(SYS!$AU$51="6 міс.% далі ануітет",IF(H133&lt;=6,N133,IF(LEN(H134)=0,N133+M133,ROUND(PMT(SYS!$AG$52/12,D$8-6,$M$32),2))+P133),
IF(SYS!$AU$51="3 міс.% далі ануітет",IF(H133&lt;=3,N133,IF(LEN(H134)=0,N133+M133,ROUND(PMT(SYS!$AG$52/12,D$8-3,$M$32),2))+P133),
IF(SYS!$AU$51="4 міс.% далі ануітет",IF(H133&lt;=4,N133,IF(LEN(H134)=0,N133+M133,ROUND(PMT(SYS!$AG$52/12,D$8-4,$M$32),2))+P133))))))</f>
        <v/>
      </c>
      <c r="M133" s="52" t="str">
        <f>IF(LEN(H133)=0,IF(LEN(H132)&gt;0,SUM(M$32:M132)-M$32,""),IF(LEN(H134)=0,SUM(M$32:M132)*-1,L133-N133-P133))</f>
        <v/>
      </c>
      <c r="N133" s="52" t="str">
        <f>IF(LEN(H133)=0,IF(LEN(H132)&gt;0,SUM(N$32:N132),""),ROUND((SUM(M$32:M132)*-1)*SYS!$AG$52/365*КАЛЬКУЛЯТОР!K133,2))</f>
        <v/>
      </c>
      <c r="O133" s="50" t="str">
        <f t="shared" si="31"/>
        <v/>
      </c>
      <c r="P133" s="52" t="str">
        <f>IF(LEN(H133)=0,IF(LEN(H132)&gt;0,SUM(P$32:P132),""),IF(SYS!$AV$51=SYS!$A$2,SUM(КАЛЬКУЛЯТОР!M$32:M132)*-1*$L$10,M$32*-1*L$10))</f>
        <v/>
      </c>
      <c r="Q133" s="53" t="str">
        <f t="shared" si="32"/>
        <v/>
      </c>
      <c r="R133" s="50" t="str">
        <f t="shared" si="33"/>
        <v/>
      </c>
      <c r="S133" s="50" t="str">
        <f t="shared" si="34"/>
        <v/>
      </c>
      <c r="T133" s="50" t="str">
        <f t="shared" si="35"/>
        <v/>
      </c>
      <c r="Y133" s="54" t="str">
        <f t="shared" si="38"/>
        <v/>
      </c>
      <c r="Z133" s="50" t="str">
        <f t="shared" si="39"/>
        <v/>
      </c>
    </row>
    <row r="134" spans="1:26" x14ac:dyDescent="0.2">
      <c r="A134" s="17" t="str">
        <f t="shared" si="22"/>
        <v/>
      </c>
      <c r="B134" s="42" t="str">
        <f t="shared" si="37"/>
        <v/>
      </c>
      <c r="C134" s="17">
        <f t="shared" si="24"/>
        <v>0</v>
      </c>
      <c r="D134" s="17">
        <f t="shared" si="25"/>
        <v>0</v>
      </c>
      <c r="E134" s="17">
        <f t="shared" ca="1" si="26"/>
        <v>6</v>
      </c>
      <c r="F134" s="49">
        <f t="shared" ca="1" si="36"/>
        <v>49301</v>
      </c>
      <c r="G134" s="17">
        <v>102</v>
      </c>
      <c r="H134" s="17" t="str">
        <f t="shared" si="27"/>
        <v/>
      </c>
      <c r="I134" s="50" t="str">
        <f t="shared" si="28"/>
        <v/>
      </c>
      <c r="J134" s="51" t="str">
        <f t="shared" si="29"/>
        <v/>
      </c>
      <c r="K134" s="50" t="str">
        <f t="shared" si="30"/>
        <v/>
      </c>
      <c r="L134" s="52" t="str">
        <f>IF(LEN(H134)=0,IF(LEN(H133)&gt;0,SUM(L$32:L133)-L$32,""),IF(SYS!$AU$51="ануітет",IF(LEN(H135)=0,N134+M134,ROUND(PMT(SYS!$AG$52/12,D$8,$M$32),2))+P134,
IF(SYS!$AU$51="6 міс.% далі ануітет",IF(H134&lt;=6,N134,IF(LEN(H135)=0,N134+M134,ROUND(PMT(SYS!$AG$52/12,D$8-6,$M$32),2))+P134),
IF(SYS!$AU$51="3 міс.% далі ануітет",IF(H134&lt;=3,N134,IF(LEN(H135)=0,N134+M134,ROUND(PMT(SYS!$AG$52/12,D$8-3,$M$32),2))+P134),
IF(SYS!$AU$51="4 міс.% далі ануітет",IF(H134&lt;=4,N134,IF(LEN(H135)=0,N134+M134,ROUND(PMT(SYS!$AG$52/12,D$8-4,$M$32),2))+P134))))))</f>
        <v/>
      </c>
      <c r="M134" s="52" t="str">
        <f>IF(LEN(H134)=0,IF(LEN(H133)&gt;0,SUM(M$32:M133)-M$32,""),IF(LEN(H135)=0,SUM(M$32:M133)*-1,L134-N134-P134))</f>
        <v/>
      </c>
      <c r="N134" s="52" t="str">
        <f>IF(LEN(H134)=0,IF(LEN(H133)&gt;0,SUM(N$32:N133),""),ROUND((SUM(M$32:M133)*-1)*SYS!$AG$52/365*КАЛЬКУЛЯТОР!K134,2))</f>
        <v/>
      </c>
      <c r="O134" s="50" t="str">
        <f t="shared" si="31"/>
        <v/>
      </c>
      <c r="P134" s="52" t="str">
        <f>IF(LEN(H134)=0,IF(LEN(H133)&gt;0,SUM(P$32:P133),""),IF(SYS!$AV$51=SYS!$A$2,SUM(КАЛЬКУЛЯТОР!M$32:M133)*-1*$L$10,M$32*-1*L$10))</f>
        <v/>
      </c>
      <c r="Q134" s="53" t="str">
        <f t="shared" si="32"/>
        <v/>
      </c>
      <c r="R134" s="50" t="str">
        <f t="shared" si="33"/>
        <v/>
      </c>
      <c r="S134" s="50" t="str">
        <f t="shared" si="34"/>
        <v/>
      </c>
      <c r="T134" s="50" t="str">
        <f t="shared" si="35"/>
        <v/>
      </c>
      <c r="Y134" s="54" t="str">
        <f t="shared" si="38"/>
        <v/>
      </c>
      <c r="Z134" s="50" t="str">
        <f t="shared" si="39"/>
        <v/>
      </c>
    </row>
    <row r="135" spans="1:26" x14ac:dyDescent="0.2">
      <c r="A135" s="17" t="str">
        <f t="shared" si="22"/>
        <v/>
      </c>
      <c r="B135" s="42" t="str">
        <f t="shared" si="37"/>
        <v/>
      </c>
      <c r="C135" s="17">
        <f t="shared" si="24"/>
        <v>0</v>
      </c>
      <c r="D135" s="17">
        <f t="shared" si="25"/>
        <v>0</v>
      </c>
      <c r="E135" s="17">
        <f t="shared" ca="1" si="26"/>
        <v>2</v>
      </c>
      <c r="F135" s="49">
        <f t="shared" ca="1" si="36"/>
        <v>49332</v>
      </c>
      <c r="G135" s="17">
        <v>103</v>
      </c>
      <c r="H135" s="17" t="str">
        <f t="shared" si="27"/>
        <v/>
      </c>
      <c r="I135" s="50" t="str">
        <f t="shared" si="28"/>
        <v/>
      </c>
      <c r="J135" s="51" t="str">
        <f t="shared" si="29"/>
        <v/>
      </c>
      <c r="K135" s="50" t="str">
        <f t="shared" si="30"/>
        <v/>
      </c>
      <c r="L135" s="52" t="str">
        <f>IF(LEN(H135)=0,IF(LEN(H134)&gt;0,SUM(L$32:L134)-L$32,""),IF(SYS!$AU$51="ануітет",IF(LEN(H136)=0,N135+M135,ROUND(PMT(SYS!$AG$52/12,D$8,$M$32),2))+P135,
IF(SYS!$AU$51="6 міс.% далі ануітет",IF(H135&lt;=6,N135,IF(LEN(H136)=0,N135+M135,ROUND(PMT(SYS!$AG$52/12,D$8-6,$M$32),2))+P135),
IF(SYS!$AU$51="3 міс.% далі ануітет",IF(H135&lt;=3,N135,IF(LEN(H136)=0,N135+M135,ROUND(PMT(SYS!$AG$52/12,D$8-3,$M$32),2))+P135),
IF(SYS!$AU$51="4 міс.% далі ануітет",IF(H135&lt;=4,N135,IF(LEN(H136)=0,N135+M135,ROUND(PMT(SYS!$AG$52/12,D$8-4,$M$32),2))+P135))))))</f>
        <v/>
      </c>
      <c r="M135" s="52" t="str">
        <f>IF(LEN(H135)=0,IF(LEN(H134)&gt;0,SUM(M$32:M134)-M$32,""),IF(LEN(H136)=0,SUM(M$32:M134)*-1,L135-N135-P135))</f>
        <v/>
      </c>
      <c r="N135" s="52" t="str">
        <f>IF(LEN(H135)=0,IF(LEN(H134)&gt;0,SUM(N$32:N134),""),ROUND((SUM(M$32:M134)*-1)*SYS!$AG$52/365*КАЛЬКУЛЯТОР!K135,2))</f>
        <v/>
      </c>
      <c r="O135" s="50" t="str">
        <f t="shared" si="31"/>
        <v/>
      </c>
      <c r="P135" s="52" t="str">
        <f>IF(LEN(H135)=0,IF(LEN(H134)&gt;0,SUM(P$32:P134),""),IF(SYS!$AV$51=SYS!$A$2,SUM(КАЛЬКУЛЯТОР!M$32:M134)*-1*$L$10,M$32*-1*L$10))</f>
        <v/>
      </c>
      <c r="Q135" s="53" t="str">
        <f t="shared" si="32"/>
        <v/>
      </c>
      <c r="R135" s="50" t="str">
        <f t="shared" si="33"/>
        <v/>
      </c>
      <c r="S135" s="50" t="str">
        <f t="shared" si="34"/>
        <v/>
      </c>
      <c r="T135" s="50" t="str">
        <f t="shared" si="35"/>
        <v/>
      </c>
      <c r="Y135" s="54" t="str">
        <f t="shared" si="38"/>
        <v/>
      </c>
      <c r="Z135" s="50" t="str">
        <f t="shared" si="39"/>
        <v/>
      </c>
    </row>
    <row r="136" spans="1:26" x14ac:dyDescent="0.2">
      <c r="A136" s="17" t="str">
        <f t="shared" si="22"/>
        <v/>
      </c>
      <c r="B136" s="42" t="str">
        <f t="shared" si="37"/>
        <v/>
      </c>
      <c r="C136" s="17">
        <f t="shared" si="24"/>
        <v>0</v>
      </c>
      <c r="D136" s="17">
        <f t="shared" si="25"/>
        <v>0</v>
      </c>
      <c r="E136" s="17">
        <f t="shared" ca="1" si="26"/>
        <v>5</v>
      </c>
      <c r="F136" s="49">
        <f t="shared" ca="1" si="36"/>
        <v>49363</v>
      </c>
      <c r="G136" s="17">
        <v>104</v>
      </c>
      <c r="H136" s="17" t="str">
        <f t="shared" si="27"/>
        <v/>
      </c>
      <c r="I136" s="50" t="str">
        <f t="shared" si="28"/>
        <v/>
      </c>
      <c r="J136" s="51" t="str">
        <f t="shared" si="29"/>
        <v/>
      </c>
      <c r="K136" s="50" t="str">
        <f t="shared" si="30"/>
        <v/>
      </c>
      <c r="L136" s="52" t="str">
        <f>IF(LEN(H136)=0,IF(LEN(H135)&gt;0,SUM(L$32:L135)-L$32,""),IF(SYS!$AU$51="ануітет",IF(LEN(H137)=0,N136+M136,ROUND(PMT(SYS!$AG$52/12,D$8,$M$32),2))+P136,
IF(SYS!$AU$51="6 міс.% далі ануітет",IF(H136&lt;=6,N136,IF(LEN(H137)=0,N136+M136,ROUND(PMT(SYS!$AG$52/12,D$8-6,$M$32),2))+P136),
IF(SYS!$AU$51="3 міс.% далі ануітет",IF(H136&lt;=3,N136,IF(LEN(H137)=0,N136+M136,ROUND(PMT(SYS!$AG$52/12,D$8-3,$M$32),2))+P136),
IF(SYS!$AU$51="4 міс.% далі ануітет",IF(H136&lt;=4,N136,IF(LEN(H137)=0,N136+M136,ROUND(PMT(SYS!$AG$52/12,D$8-4,$M$32),2))+P136))))))</f>
        <v/>
      </c>
      <c r="M136" s="52" t="str">
        <f>IF(LEN(H136)=0,IF(LEN(H135)&gt;0,SUM(M$32:M135)-M$32,""),IF(LEN(H137)=0,SUM(M$32:M135)*-1,L136-N136-P136))</f>
        <v/>
      </c>
      <c r="N136" s="52" t="str">
        <f>IF(LEN(H136)=0,IF(LEN(H135)&gt;0,SUM(N$32:N135),""),ROUND((SUM(M$32:M135)*-1)*SYS!$AG$52/365*КАЛЬКУЛЯТОР!K136,2))</f>
        <v/>
      </c>
      <c r="O136" s="50" t="str">
        <f t="shared" si="31"/>
        <v/>
      </c>
      <c r="P136" s="52" t="str">
        <f>IF(LEN(H136)=0,IF(LEN(H135)&gt;0,SUM(P$32:P135),""),IF(SYS!$AV$51=SYS!$A$2,SUM(КАЛЬКУЛЯТОР!M$32:M135)*-1*$L$10,M$32*-1*L$10))</f>
        <v/>
      </c>
      <c r="Q136" s="53" t="str">
        <f t="shared" si="32"/>
        <v/>
      </c>
      <c r="R136" s="50" t="str">
        <f t="shared" si="33"/>
        <v/>
      </c>
      <c r="S136" s="50" t="str">
        <f t="shared" si="34"/>
        <v/>
      </c>
      <c r="T136" s="50" t="str">
        <f t="shared" si="35"/>
        <v/>
      </c>
      <c r="Y136" s="54" t="str">
        <f t="shared" si="38"/>
        <v/>
      </c>
      <c r="Z136" s="50" t="str">
        <f t="shared" si="39"/>
        <v/>
      </c>
    </row>
    <row r="137" spans="1:26" x14ac:dyDescent="0.2">
      <c r="A137" s="17" t="str">
        <f t="shared" si="22"/>
        <v/>
      </c>
      <c r="B137" s="42" t="str">
        <f t="shared" si="37"/>
        <v/>
      </c>
      <c r="C137" s="17">
        <f t="shared" si="24"/>
        <v>0</v>
      </c>
      <c r="D137" s="17">
        <f t="shared" si="25"/>
        <v>0</v>
      </c>
      <c r="E137" s="17">
        <f t="shared" ca="1" si="26"/>
        <v>5</v>
      </c>
      <c r="F137" s="49">
        <f t="shared" ca="1" si="36"/>
        <v>49391</v>
      </c>
      <c r="G137" s="17">
        <v>105</v>
      </c>
      <c r="H137" s="17" t="str">
        <f t="shared" si="27"/>
        <v/>
      </c>
      <c r="I137" s="50" t="str">
        <f t="shared" si="28"/>
        <v/>
      </c>
      <c r="J137" s="51" t="str">
        <f t="shared" si="29"/>
        <v/>
      </c>
      <c r="K137" s="50" t="str">
        <f t="shared" si="30"/>
        <v/>
      </c>
      <c r="L137" s="52" t="str">
        <f>IF(LEN(H137)=0,IF(LEN(H136)&gt;0,SUM(L$32:L136)-L$32,""),IF(SYS!$AU$51="ануітет",IF(LEN(H138)=0,N137+M137,ROUND(PMT(SYS!$AG$52/12,D$8,$M$32),2))+P137,
IF(SYS!$AU$51="6 міс.% далі ануітет",IF(H137&lt;=6,N137,IF(LEN(H138)=0,N137+M137,ROUND(PMT(SYS!$AG$52/12,D$8-6,$M$32),2))+P137),
IF(SYS!$AU$51="3 міс.% далі ануітет",IF(H137&lt;=3,N137,IF(LEN(H138)=0,N137+M137,ROUND(PMT(SYS!$AG$52/12,D$8-3,$M$32),2))+P137),
IF(SYS!$AU$51="4 міс.% далі ануітет",IF(H137&lt;=4,N137,IF(LEN(H138)=0,N137+M137,ROUND(PMT(SYS!$AG$52/12,D$8-4,$M$32),2))+P137))))))</f>
        <v/>
      </c>
      <c r="M137" s="52" t="str">
        <f>IF(LEN(H137)=0,IF(LEN(H136)&gt;0,SUM(M$32:M136)-M$32,""),IF(LEN(H138)=0,SUM(M$32:M136)*-1,L137-N137-P137))</f>
        <v/>
      </c>
      <c r="N137" s="52" t="str">
        <f>IF(LEN(H137)=0,IF(LEN(H136)&gt;0,SUM(N$32:N136),""),ROUND((SUM(M$32:M136)*-1)*SYS!$AG$52/365*КАЛЬКУЛЯТОР!K137,2))</f>
        <v/>
      </c>
      <c r="O137" s="50" t="str">
        <f t="shared" si="31"/>
        <v/>
      </c>
      <c r="P137" s="52" t="str">
        <f>IF(LEN(H137)=0,IF(LEN(H136)&gt;0,SUM(P$32:P136),""),IF(SYS!$AV$51=SYS!$A$2,SUM(КАЛЬКУЛЯТОР!M$32:M136)*-1*$L$10,M$32*-1*L$10))</f>
        <v/>
      </c>
      <c r="Q137" s="53" t="str">
        <f t="shared" si="32"/>
        <v/>
      </c>
      <c r="R137" s="50" t="str">
        <f t="shared" si="33"/>
        <v/>
      </c>
      <c r="S137" s="50" t="str">
        <f t="shared" si="34"/>
        <v/>
      </c>
      <c r="T137" s="50" t="str">
        <f t="shared" si="35"/>
        <v/>
      </c>
      <c r="Y137" s="54" t="str">
        <f t="shared" si="38"/>
        <v/>
      </c>
      <c r="Z137" s="50" t="str">
        <f t="shared" si="39"/>
        <v/>
      </c>
    </row>
    <row r="138" spans="1:26" x14ac:dyDescent="0.2">
      <c r="A138" s="17" t="str">
        <f t="shared" si="22"/>
        <v/>
      </c>
      <c r="B138" s="42" t="str">
        <f t="shared" si="37"/>
        <v/>
      </c>
      <c r="C138" s="17">
        <f t="shared" si="24"/>
        <v>0</v>
      </c>
      <c r="D138" s="17">
        <f t="shared" si="25"/>
        <v>0</v>
      </c>
      <c r="E138" s="17">
        <f t="shared" ca="1" si="26"/>
        <v>1</v>
      </c>
      <c r="F138" s="49">
        <f t="shared" ca="1" si="36"/>
        <v>49422</v>
      </c>
      <c r="G138" s="17">
        <v>106</v>
      </c>
      <c r="H138" s="17" t="str">
        <f t="shared" si="27"/>
        <v/>
      </c>
      <c r="I138" s="50" t="str">
        <f t="shared" si="28"/>
        <v/>
      </c>
      <c r="J138" s="51" t="str">
        <f t="shared" si="29"/>
        <v/>
      </c>
      <c r="K138" s="50" t="str">
        <f t="shared" si="30"/>
        <v/>
      </c>
      <c r="L138" s="52" t="str">
        <f>IF(LEN(H138)=0,IF(LEN(H137)&gt;0,SUM(L$32:L137)-L$32,""),IF(SYS!$AU$51="ануітет",IF(LEN(H139)=0,N138+M138,ROUND(PMT(SYS!$AG$52/12,D$8,$M$32),2))+P138,
IF(SYS!$AU$51="6 міс.% далі ануітет",IF(H138&lt;=6,N138,IF(LEN(H139)=0,N138+M138,ROUND(PMT(SYS!$AG$52/12,D$8-6,$M$32),2))+P138),
IF(SYS!$AU$51="3 міс.% далі ануітет",IF(H138&lt;=3,N138,IF(LEN(H139)=0,N138+M138,ROUND(PMT(SYS!$AG$52/12,D$8-3,$M$32),2))+P138),
IF(SYS!$AU$51="4 міс.% далі ануітет",IF(H138&lt;=4,N138,IF(LEN(H139)=0,N138+M138,ROUND(PMT(SYS!$AG$52/12,D$8-4,$M$32),2))+P138))))))</f>
        <v/>
      </c>
      <c r="M138" s="52" t="str">
        <f>IF(LEN(H138)=0,IF(LEN(H137)&gt;0,SUM(M$32:M137)-M$32,""),IF(LEN(H139)=0,SUM(M$32:M137)*-1,L138-N138-P138))</f>
        <v/>
      </c>
      <c r="N138" s="52" t="str">
        <f>IF(LEN(H138)=0,IF(LEN(H137)&gt;0,SUM(N$32:N137),""),ROUND((SUM(M$32:M137)*-1)*SYS!$AG$52/365*КАЛЬКУЛЯТОР!K138,2))</f>
        <v/>
      </c>
      <c r="O138" s="50" t="str">
        <f t="shared" si="31"/>
        <v/>
      </c>
      <c r="P138" s="52" t="str">
        <f>IF(LEN(H138)=0,IF(LEN(H137)&gt;0,SUM(P$32:P137),""),IF(SYS!$AV$51=SYS!$A$2,SUM(КАЛЬКУЛЯТОР!M$32:M137)*-1*$L$10,M$32*-1*L$10))</f>
        <v/>
      </c>
      <c r="Q138" s="53" t="str">
        <f t="shared" si="32"/>
        <v/>
      </c>
      <c r="R138" s="50" t="str">
        <f t="shared" si="33"/>
        <v/>
      </c>
      <c r="S138" s="50" t="str">
        <f t="shared" si="34"/>
        <v/>
      </c>
      <c r="T138" s="50" t="str">
        <f t="shared" si="35"/>
        <v/>
      </c>
      <c r="Y138" s="54" t="str">
        <f t="shared" si="38"/>
        <v/>
      </c>
      <c r="Z138" s="50" t="str">
        <f t="shared" si="39"/>
        <v/>
      </c>
    </row>
    <row r="139" spans="1:26" x14ac:dyDescent="0.2">
      <c r="A139" s="17" t="str">
        <f t="shared" si="22"/>
        <v/>
      </c>
      <c r="B139" s="42" t="str">
        <f t="shared" si="37"/>
        <v/>
      </c>
      <c r="C139" s="17">
        <f t="shared" si="24"/>
        <v>0</v>
      </c>
      <c r="D139" s="17">
        <f t="shared" si="25"/>
        <v>0</v>
      </c>
      <c r="E139" s="17">
        <f t="shared" ca="1" si="26"/>
        <v>3</v>
      </c>
      <c r="F139" s="49">
        <f t="shared" ca="1" si="36"/>
        <v>49452</v>
      </c>
      <c r="G139" s="17">
        <v>107</v>
      </c>
      <c r="H139" s="17" t="str">
        <f t="shared" si="27"/>
        <v/>
      </c>
      <c r="I139" s="50" t="str">
        <f t="shared" si="28"/>
        <v/>
      </c>
      <c r="J139" s="51" t="str">
        <f t="shared" si="29"/>
        <v/>
      </c>
      <c r="K139" s="50" t="str">
        <f t="shared" si="30"/>
        <v/>
      </c>
      <c r="L139" s="52" t="str">
        <f>IF(LEN(H139)=0,IF(LEN(H138)&gt;0,SUM(L$32:L138)-L$32,""),IF(SYS!$AU$51="ануітет",IF(LEN(H140)=0,N139+M139,ROUND(PMT(SYS!$AG$52/12,D$8,$M$32),2))+P139,
IF(SYS!$AU$51="6 міс.% далі ануітет",IF(H139&lt;=6,N139,IF(LEN(H140)=0,N139+M139,ROUND(PMT(SYS!$AG$52/12,D$8-6,$M$32),2))+P139),
IF(SYS!$AU$51="3 міс.% далі ануітет",IF(H139&lt;=3,N139,IF(LEN(H140)=0,N139+M139,ROUND(PMT(SYS!$AG$52/12,D$8-3,$M$32),2))+P139),
IF(SYS!$AU$51="4 міс.% далі ануітет",IF(H139&lt;=4,N139,IF(LEN(H140)=0,N139+M139,ROUND(PMT(SYS!$AG$52/12,D$8-4,$M$32),2))+P139))))))</f>
        <v/>
      </c>
      <c r="M139" s="52" t="str">
        <f>IF(LEN(H139)=0,IF(LEN(H138)&gt;0,SUM(M$32:M138)-M$32,""),IF(LEN(H140)=0,SUM(M$32:M138)*-1,L139-N139-P139))</f>
        <v/>
      </c>
      <c r="N139" s="52" t="str">
        <f>IF(LEN(H139)=0,IF(LEN(H138)&gt;0,SUM(N$32:N138),""),ROUND((SUM(M$32:M138)*-1)*SYS!$AG$52/365*КАЛЬКУЛЯТОР!K139,2))</f>
        <v/>
      </c>
      <c r="O139" s="50" t="str">
        <f t="shared" si="31"/>
        <v/>
      </c>
      <c r="P139" s="52" t="str">
        <f>IF(LEN(H139)=0,IF(LEN(H138)&gt;0,SUM(P$32:P138),""),IF(SYS!$AV$51=SYS!$A$2,SUM(КАЛЬКУЛЯТОР!M$32:M138)*-1*$L$10,M$32*-1*L$10))</f>
        <v/>
      </c>
      <c r="Q139" s="53" t="str">
        <f t="shared" si="32"/>
        <v/>
      </c>
      <c r="R139" s="50" t="str">
        <f t="shared" si="33"/>
        <v/>
      </c>
      <c r="S139" s="50" t="str">
        <f t="shared" si="34"/>
        <v/>
      </c>
      <c r="T139" s="50" t="str">
        <f t="shared" si="35"/>
        <v/>
      </c>
      <c r="Y139" s="54" t="str">
        <f t="shared" si="38"/>
        <v/>
      </c>
      <c r="Z139" s="50" t="str">
        <f t="shared" si="39"/>
        <v/>
      </c>
    </row>
    <row r="140" spans="1:26" x14ac:dyDescent="0.2">
      <c r="A140" s="17" t="str">
        <f t="shared" si="22"/>
        <v/>
      </c>
      <c r="B140" s="42" t="str">
        <f t="shared" si="37"/>
        <v/>
      </c>
      <c r="C140" s="17">
        <f t="shared" si="24"/>
        <v>0</v>
      </c>
      <c r="D140" s="17">
        <f t="shared" si="25"/>
        <v>0</v>
      </c>
      <c r="E140" s="17">
        <f t="shared" ca="1" si="26"/>
        <v>6</v>
      </c>
      <c r="F140" s="49">
        <f t="shared" ca="1" si="36"/>
        <v>49483</v>
      </c>
      <c r="G140" s="17">
        <v>108</v>
      </c>
      <c r="H140" s="17" t="str">
        <f t="shared" si="27"/>
        <v/>
      </c>
      <c r="I140" s="50" t="str">
        <f t="shared" si="28"/>
        <v/>
      </c>
      <c r="J140" s="51" t="str">
        <f t="shared" si="29"/>
        <v/>
      </c>
      <c r="K140" s="50" t="str">
        <f t="shared" si="30"/>
        <v/>
      </c>
      <c r="L140" s="52" t="str">
        <f>IF(LEN(H140)=0,IF(LEN(H139)&gt;0,SUM(L$32:L139)-L$32,""),IF(SYS!$AU$51="ануітет",IF(LEN(H141)=0,N140+M140,ROUND(PMT(SYS!$AG$52/12,D$8,$M$32),2))+P140,
IF(SYS!$AU$51="6 міс.% далі ануітет",IF(H140&lt;=6,N140,IF(LEN(H141)=0,N140+M140,ROUND(PMT(SYS!$AG$52/12,D$8-6,$M$32),2))+P140),
IF(SYS!$AU$51="3 міс.% далі ануітет",IF(H140&lt;=3,N140,IF(LEN(H141)=0,N140+M140,ROUND(PMT(SYS!$AG$52/12,D$8-3,$M$32),2))+P140),
IF(SYS!$AU$51="4 міс.% далі ануітет",IF(H140&lt;=4,N140,IF(LEN(H141)=0,N140+M140,ROUND(PMT(SYS!$AG$52/12,D$8-4,$M$32),2))+P140))))))</f>
        <v/>
      </c>
      <c r="M140" s="52" t="str">
        <f>IF(LEN(H140)=0,IF(LEN(H139)&gt;0,SUM(M$32:M139)-M$32,""),IF(LEN(H141)=0,SUM(M$32:M139)*-1,L140-N140-P140))</f>
        <v/>
      </c>
      <c r="N140" s="52" t="str">
        <f>IF(LEN(H140)=0,IF(LEN(H139)&gt;0,SUM(N$32:N139),""),ROUND((SUM(M$32:M139)*-1)*SYS!$AG$52/365*КАЛЬКУЛЯТОР!K140,2))</f>
        <v/>
      </c>
      <c r="O140" s="50" t="str">
        <f t="shared" si="31"/>
        <v/>
      </c>
      <c r="P140" s="52" t="str">
        <f>IF(LEN(H140)=0,IF(LEN(H139)&gt;0,SUM(P$32:P139),""),IF(SYS!$AV$51=SYS!$A$2,SUM(КАЛЬКУЛЯТОР!M$32:M139)*-1*$L$10,M$32*-1*L$10))</f>
        <v/>
      </c>
      <c r="Q140" s="53" t="str">
        <f t="shared" si="32"/>
        <v/>
      </c>
      <c r="R140" s="50" t="str">
        <f t="shared" si="33"/>
        <v/>
      </c>
      <c r="S140" s="50" t="str">
        <f t="shared" si="34"/>
        <v/>
      </c>
      <c r="T140" s="50" t="str">
        <f t="shared" si="35"/>
        <v/>
      </c>
      <c r="Y140" s="54" t="str">
        <f t="shared" si="38"/>
        <v/>
      </c>
      <c r="Z140" s="50" t="str">
        <f t="shared" si="39"/>
        <v/>
      </c>
    </row>
    <row r="141" spans="1:26" x14ac:dyDescent="0.2">
      <c r="A141" s="17" t="str">
        <f t="shared" si="22"/>
        <v/>
      </c>
      <c r="B141" s="42" t="str">
        <f t="shared" si="37"/>
        <v/>
      </c>
      <c r="C141" s="17">
        <f t="shared" si="24"/>
        <v>0</v>
      </c>
      <c r="D141" s="17">
        <f t="shared" si="25"/>
        <v>0</v>
      </c>
      <c r="E141" s="17">
        <f t="shared" ca="1" si="26"/>
        <v>1</v>
      </c>
      <c r="F141" s="49">
        <f t="shared" ca="1" si="36"/>
        <v>49513</v>
      </c>
      <c r="G141" s="17">
        <v>109</v>
      </c>
      <c r="H141" s="17" t="str">
        <f t="shared" si="27"/>
        <v/>
      </c>
      <c r="I141" s="50" t="str">
        <f t="shared" si="28"/>
        <v/>
      </c>
      <c r="J141" s="51" t="str">
        <f t="shared" si="29"/>
        <v/>
      </c>
      <c r="K141" s="50" t="str">
        <f t="shared" si="30"/>
        <v/>
      </c>
      <c r="L141" s="52" t="str">
        <f>IF(LEN(H141)=0,IF(LEN(H140)&gt;0,SUM(L$32:L140)-L$32,""),IF(SYS!$AU$51="ануітет",IF(LEN(H142)=0,N141+M141,ROUND(PMT(SYS!$AG$52/12,D$8,$M$32),2))+P141,
IF(SYS!$AU$51="6 міс.% далі ануітет",IF(H141&lt;=6,N141,IF(LEN(H142)=0,N141+M141,ROUND(PMT(SYS!$AG$52/12,D$8-6,$M$32),2))+P141),
IF(SYS!$AU$51="3 міс.% далі ануітет",IF(H141&lt;=3,N141,IF(LEN(H142)=0,N141+M141,ROUND(PMT(SYS!$AG$52/12,D$8-3,$M$32),2))+P141),
IF(SYS!$AU$51="4 міс.% далі ануітет",IF(H141&lt;=4,N141,IF(LEN(H142)=0,N141+M141,ROUND(PMT(SYS!$AG$52/12,D$8-4,$M$32),2))+P141))))))</f>
        <v/>
      </c>
      <c r="M141" s="52" t="str">
        <f>IF(LEN(H141)=0,IF(LEN(H140)&gt;0,SUM(M$32:M140)-M$32,""),IF(LEN(H142)=0,SUM(M$32:M140)*-1,L141-N141-P141))</f>
        <v/>
      </c>
      <c r="N141" s="52" t="str">
        <f>IF(LEN(H141)=0,IF(LEN(H140)&gt;0,SUM(N$32:N140),""),ROUND((SUM(M$32:M140)*-1)*SYS!$AG$52/365*КАЛЬКУЛЯТОР!K141,2))</f>
        <v/>
      </c>
      <c r="O141" s="50" t="str">
        <f t="shared" si="31"/>
        <v/>
      </c>
      <c r="P141" s="52" t="str">
        <f>IF(LEN(H141)=0,IF(LEN(H140)&gt;0,SUM(P$32:P140),""),IF(SYS!$AV$51=SYS!$A$2,SUM(КАЛЬКУЛЯТОР!M$32:M140)*-1*$L$10,M$32*-1*L$10))</f>
        <v/>
      </c>
      <c r="Q141" s="53" t="str">
        <f t="shared" si="32"/>
        <v/>
      </c>
      <c r="R141" s="50" t="str">
        <f t="shared" si="33"/>
        <v/>
      </c>
      <c r="S141" s="50" t="str">
        <f t="shared" si="34"/>
        <v/>
      </c>
      <c r="T141" s="50" t="str">
        <f t="shared" si="35"/>
        <v/>
      </c>
      <c r="Y141" s="54" t="str">
        <f t="shared" si="38"/>
        <v/>
      </c>
      <c r="Z141" s="50" t="str">
        <f t="shared" si="39"/>
        <v/>
      </c>
    </row>
    <row r="142" spans="1:26" x14ac:dyDescent="0.2">
      <c r="A142" s="17" t="str">
        <f t="shared" si="22"/>
        <v/>
      </c>
      <c r="B142" s="42" t="str">
        <f t="shared" si="37"/>
        <v/>
      </c>
      <c r="C142" s="17">
        <f t="shared" si="24"/>
        <v>0</v>
      </c>
      <c r="D142" s="17">
        <f t="shared" si="25"/>
        <v>0</v>
      </c>
      <c r="E142" s="17">
        <f t="shared" ca="1" si="26"/>
        <v>4</v>
      </c>
      <c r="F142" s="49">
        <f t="shared" ca="1" si="36"/>
        <v>49544</v>
      </c>
      <c r="G142" s="17">
        <v>110</v>
      </c>
      <c r="H142" s="17" t="str">
        <f t="shared" si="27"/>
        <v/>
      </c>
      <c r="I142" s="50" t="str">
        <f t="shared" si="28"/>
        <v/>
      </c>
      <c r="J142" s="51" t="str">
        <f t="shared" si="29"/>
        <v/>
      </c>
      <c r="K142" s="50" t="str">
        <f t="shared" si="30"/>
        <v/>
      </c>
      <c r="L142" s="52" t="str">
        <f>IF(LEN(H142)=0,IF(LEN(H141)&gt;0,SUM(L$32:L141)-L$32,""),IF(SYS!$AU$51="ануітет",IF(LEN(H143)=0,N142+M142,ROUND(PMT(SYS!$AG$52/12,D$8,$M$32),2))+P142,
IF(SYS!$AU$51="6 міс.% далі ануітет",IF(H142&lt;=6,N142,IF(LEN(H143)=0,N142+M142,ROUND(PMT(SYS!$AG$52/12,D$8-6,$M$32),2))+P142),
IF(SYS!$AU$51="3 міс.% далі ануітет",IF(H142&lt;=3,N142,IF(LEN(H143)=0,N142+M142,ROUND(PMT(SYS!$AG$52/12,D$8-3,$M$32),2))+P142),
IF(SYS!$AU$51="4 міс.% далі ануітет",IF(H142&lt;=4,N142,IF(LEN(H143)=0,N142+M142,ROUND(PMT(SYS!$AG$52/12,D$8-4,$M$32),2))+P142))))))</f>
        <v/>
      </c>
      <c r="M142" s="52" t="str">
        <f>IF(LEN(H142)=0,IF(LEN(H141)&gt;0,SUM(M$32:M141)-M$32,""),IF(LEN(H143)=0,SUM(M$32:M141)*-1,L142-N142-P142))</f>
        <v/>
      </c>
      <c r="N142" s="52" t="str">
        <f>IF(LEN(H142)=0,IF(LEN(H141)&gt;0,SUM(N$32:N141),""),ROUND((SUM(M$32:M141)*-1)*SYS!$AG$52/365*КАЛЬКУЛЯТОР!K142,2))</f>
        <v/>
      </c>
      <c r="O142" s="50" t="str">
        <f t="shared" si="31"/>
        <v/>
      </c>
      <c r="P142" s="52" t="str">
        <f>IF(LEN(H142)=0,IF(LEN(H141)&gt;0,SUM(P$32:P141),""),IF(SYS!$AV$51=SYS!$A$2,SUM(КАЛЬКУЛЯТОР!M$32:M141)*-1*$L$10,M$32*-1*L$10))</f>
        <v/>
      </c>
      <c r="Q142" s="53" t="str">
        <f t="shared" si="32"/>
        <v/>
      </c>
      <c r="R142" s="50" t="str">
        <f t="shared" si="33"/>
        <v/>
      </c>
      <c r="S142" s="50" t="str">
        <f t="shared" si="34"/>
        <v/>
      </c>
      <c r="T142" s="50" t="str">
        <f t="shared" si="35"/>
        <v/>
      </c>
      <c r="Y142" s="54" t="str">
        <f t="shared" si="38"/>
        <v/>
      </c>
      <c r="Z142" s="50" t="str">
        <f t="shared" si="39"/>
        <v/>
      </c>
    </row>
    <row r="143" spans="1:26" x14ac:dyDescent="0.2">
      <c r="A143" s="17" t="str">
        <f t="shared" si="22"/>
        <v/>
      </c>
      <c r="B143" s="42" t="str">
        <f t="shared" si="37"/>
        <v/>
      </c>
      <c r="C143" s="17">
        <f t="shared" si="24"/>
        <v>0</v>
      </c>
      <c r="D143" s="17">
        <f t="shared" si="25"/>
        <v>0</v>
      </c>
      <c r="E143" s="17">
        <f t="shared" ca="1" si="26"/>
        <v>7</v>
      </c>
      <c r="F143" s="49">
        <f t="shared" ca="1" si="36"/>
        <v>49575</v>
      </c>
      <c r="G143" s="17">
        <v>111</v>
      </c>
      <c r="H143" s="17" t="str">
        <f t="shared" si="27"/>
        <v/>
      </c>
      <c r="I143" s="50" t="str">
        <f t="shared" si="28"/>
        <v/>
      </c>
      <c r="J143" s="51" t="str">
        <f t="shared" si="29"/>
        <v/>
      </c>
      <c r="K143" s="50" t="str">
        <f t="shared" si="30"/>
        <v/>
      </c>
      <c r="L143" s="52" t="str">
        <f>IF(LEN(H143)=0,IF(LEN(H142)&gt;0,SUM(L$32:L142)-L$32,""),IF(SYS!$AU$51="ануітет",IF(LEN(H144)=0,N143+M143,ROUND(PMT(SYS!$AG$52/12,D$8,$M$32),2))+P143,
IF(SYS!$AU$51="6 міс.% далі ануітет",IF(H143&lt;=6,N143,IF(LEN(H144)=0,N143+M143,ROUND(PMT(SYS!$AG$52/12,D$8-6,$M$32),2))+P143),
IF(SYS!$AU$51="3 міс.% далі ануітет",IF(H143&lt;=3,N143,IF(LEN(H144)=0,N143+M143,ROUND(PMT(SYS!$AG$52/12,D$8-3,$M$32),2))+P143),
IF(SYS!$AU$51="4 міс.% далі ануітет",IF(H143&lt;=4,N143,IF(LEN(H144)=0,N143+M143,ROUND(PMT(SYS!$AG$52/12,D$8-4,$M$32),2))+P143))))))</f>
        <v/>
      </c>
      <c r="M143" s="52" t="str">
        <f>IF(LEN(H143)=0,IF(LEN(H142)&gt;0,SUM(M$32:M142)-M$32,""),IF(LEN(H144)=0,SUM(M$32:M142)*-1,L143-N143-P143))</f>
        <v/>
      </c>
      <c r="N143" s="52" t="str">
        <f>IF(LEN(H143)=0,IF(LEN(H142)&gt;0,SUM(N$32:N142),""),ROUND((SUM(M$32:M142)*-1)*SYS!$AG$52/365*КАЛЬКУЛЯТОР!K143,2))</f>
        <v/>
      </c>
      <c r="O143" s="50" t="str">
        <f t="shared" si="31"/>
        <v/>
      </c>
      <c r="P143" s="52" t="str">
        <f>IF(LEN(H143)=0,IF(LEN(H142)&gt;0,SUM(P$32:P142),""),IF(SYS!$AV$51=SYS!$A$2,SUM(КАЛЬКУЛЯТОР!M$32:M142)*-1*$L$10,M$32*-1*L$10))</f>
        <v/>
      </c>
      <c r="Q143" s="53" t="str">
        <f t="shared" si="32"/>
        <v/>
      </c>
      <c r="R143" s="50" t="str">
        <f t="shared" si="33"/>
        <v/>
      </c>
      <c r="S143" s="50" t="str">
        <f t="shared" si="34"/>
        <v/>
      </c>
      <c r="T143" s="50" t="str">
        <f t="shared" si="35"/>
        <v/>
      </c>
      <c r="Y143" s="54" t="str">
        <f t="shared" si="38"/>
        <v/>
      </c>
      <c r="Z143" s="50" t="str">
        <f t="shared" si="39"/>
        <v/>
      </c>
    </row>
    <row r="144" spans="1:26" x14ac:dyDescent="0.2">
      <c r="A144" s="17" t="str">
        <f t="shared" si="22"/>
        <v/>
      </c>
      <c r="B144" s="42" t="str">
        <f t="shared" si="37"/>
        <v/>
      </c>
      <c r="C144" s="17">
        <f t="shared" si="24"/>
        <v>0</v>
      </c>
      <c r="D144" s="17">
        <f t="shared" si="25"/>
        <v>0</v>
      </c>
      <c r="E144" s="17">
        <f t="shared" ca="1" si="26"/>
        <v>2</v>
      </c>
      <c r="F144" s="49">
        <f t="shared" ca="1" si="36"/>
        <v>49605</v>
      </c>
      <c r="G144" s="17">
        <v>112</v>
      </c>
      <c r="H144" s="17" t="str">
        <f t="shared" si="27"/>
        <v/>
      </c>
      <c r="I144" s="50" t="str">
        <f t="shared" si="28"/>
        <v/>
      </c>
      <c r="J144" s="51" t="str">
        <f t="shared" si="29"/>
        <v/>
      </c>
      <c r="K144" s="50" t="str">
        <f t="shared" si="30"/>
        <v/>
      </c>
      <c r="L144" s="52" t="str">
        <f>IF(LEN(H144)=0,IF(LEN(H143)&gt;0,SUM(L$32:L143)-L$32,""),IF(SYS!$AU$51="ануітет",IF(LEN(H145)=0,N144+M144,ROUND(PMT(SYS!$AG$52/12,D$8,$M$32),2))+P144,
IF(SYS!$AU$51="6 міс.% далі ануітет",IF(H144&lt;=6,N144,IF(LEN(H145)=0,N144+M144,ROUND(PMT(SYS!$AG$52/12,D$8-6,$M$32),2))+P144),
IF(SYS!$AU$51="3 міс.% далі ануітет",IF(H144&lt;=3,N144,IF(LEN(H145)=0,N144+M144,ROUND(PMT(SYS!$AG$52/12,D$8-3,$M$32),2))+P144),
IF(SYS!$AU$51="4 міс.% далі ануітет",IF(H144&lt;=4,N144,IF(LEN(H145)=0,N144+M144,ROUND(PMT(SYS!$AG$52/12,D$8-4,$M$32),2))+P144))))))</f>
        <v/>
      </c>
      <c r="M144" s="52" t="str">
        <f>IF(LEN(H144)=0,IF(LEN(H143)&gt;0,SUM(M$32:M143)-M$32,""),IF(LEN(H145)=0,SUM(M$32:M143)*-1,L144-N144-P144))</f>
        <v/>
      </c>
      <c r="N144" s="52" t="str">
        <f>IF(LEN(H144)=0,IF(LEN(H143)&gt;0,SUM(N$32:N143),""),ROUND((SUM(M$32:M143)*-1)*SYS!$AG$52/365*КАЛЬКУЛЯТОР!K144,2))</f>
        <v/>
      </c>
      <c r="O144" s="50" t="str">
        <f t="shared" si="31"/>
        <v/>
      </c>
      <c r="P144" s="52" t="str">
        <f>IF(LEN(H144)=0,IF(LEN(H143)&gt;0,SUM(P$32:P143),""),IF(SYS!$AV$51=SYS!$A$2,SUM(КАЛЬКУЛЯТОР!M$32:M143)*-1*$L$10,M$32*-1*L$10))</f>
        <v/>
      </c>
      <c r="Q144" s="53" t="str">
        <f t="shared" si="32"/>
        <v/>
      </c>
      <c r="R144" s="50" t="str">
        <f t="shared" si="33"/>
        <v/>
      </c>
      <c r="S144" s="50" t="str">
        <f t="shared" si="34"/>
        <v/>
      </c>
      <c r="T144" s="50" t="str">
        <f t="shared" si="35"/>
        <v/>
      </c>
      <c r="Y144" s="54" t="str">
        <f t="shared" si="38"/>
        <v/>
      </c>
      <c r="Z144" s="50" t="str">
        <f t="shared" si="39"/>
        <v/>
      </c>
    </row>
    <row r="145" spans="1:26" x14ac:dyDescent="0.2">
      <c r="A145" s="17" t="str">
        <f t="shared" si="22"/>
        <v/>
      </c>
      <c r="B145" s="42" t="str">
        <f t="shared" si="37"/>
        <v/>
      </c>
      <c r="C145" s="17">
        <f t="shared" si="24"/>
        <v>0</v>
      </c>
      <c r="D145" s="17">
        <f t="shared" si="25"/>
        <v>0</v>
      </c>
      <c r="E145" s="17">
        <f t="shared" ca="1" si="26"/>
        <v>5</v>
      </c>
      <c r="F145" s="49">
        <f t="shared" ca="1" si="36"/>
        <v>49636</v>
      </c>
      <c r="G145" s="17">
        <v>113</v>
      </c>
      <c r="H145" s="17" t="str">
        <f t="shared" si="27"/>
        <v/>
      </c>
      <c r="I145" s="50" t="str">
        <f t="shared" si="28"/>
        <v/>
      </c>
      <c r="J145" s="51" t="str">
        <f t="shared" si="29"/>
        <v/>
      </c>
      <c r="K145" s="50" t="str">
        <f t="shared" si="30"/>
        <v/>
      </c>
      <c r="L145" s="52" t="str">
        <f>IF(LEN(H145)=0,IF(LEN(H144)&gt;0,SUM(L$32:L144)-L$32,""),IF(SYS!$AU$51="ануітет",IF(LEN(H146)=0,N145+M145,ROUND(PMT(SYS!$AG$52/12,D$8,$M$32),2))+P145,
IF(SYS!$AU$51="6 міс.% далі ануітет",IF(H145&lt;=6,N145,IF(LEN(H146)=0,N145+M145,ROUND(PMT(SYS!$AG$52/12,D$8-6,$M$32),2))+P145),
IF(SYS!$AU$51="3 міс.% далі ануітет",IF(H145&lt;=3,N145,IF(LEN(H146)=0,N145+M145,ROUND(PMT(SYS!$AG$52/12,D$8-3,$M$32),2))+P145),
IF(SYS!$AU$51="4 міс.% далі ануітет",IF(H145&lt;=4,N145,IF(LEN(H146)=0,N145+M145,ROUND(PMT(SYS!$AG$52/12,D$8-4,$M$32),2))+P145))))))</f>
        <v/>
      </c>
      <c r="M145" s="52" t="str">
        <f>IF(LEN(H145)=0,IF(LEN(H144)&gt;0,SUM(M$32:M144)-M$32,""),IF(LEN(H146)=0,SUM(M$32:M144)*-1,L145-N145-P145))</f>
        <v/>
      </c>
      <c r="N145" s="52" t="str">
        <f>IF(LEN(H145)=0,IF(LEN(H144)&gt;0,SUM(N$32:N144),""),ROUND((SUM(M$32:M144)*-1)*SYS!$AG$52/365*КАЛЬКУЛЯТОР!K145,2))</f>
        <v/>
      </c>
      <c r="O145" s="50" t="str">
        <f t="shared" si="31"/>
        <v/>
      </c>
      <c r="P145" s="52" t="str">
        <f>IF(LEN(H145)=0,IF(LEN(H144)&gt;0,SUM(P$32:P144),""),IF(SYS!$AV$51=SYS!$A$2,SUM(КАЛЬКУЛЯТОР!M$32:M144)*-1*$L$10,M$32*-1*L$10))</f>
        <v/>
      </c>
      <c r="Q145" s="53" t="str">
        <f t="shared" si="32"/>
        <v/>
      </c>
      <c r="R145" s="50" t="str">
        <f t="shared" si="33"/>
        <v/>
      </c>
      <c r="S145" s="50" t="str">
        <f t="shared" si="34"/>
        <v/>
      </c>
      <c r="T145" s="50" t="str">
        <f t="shared" si="35"/>
        <v/>
      </c>
      <c r="Y145" s="54" t="str">
        <f t="shared" si="38"/>
        <v/>
      </c>
      <c r="Z145" s="50" t="str">
        <f t="shared" si="39"/>
        <v/>
      </c>
    </row>
    <row r="146" spans="1:26" x14ac:dyDescent="0.2">
      <c r="A146" s="17" t="str">
        <f t="shared" si="22"/>
        <v/>
      </c>
      <c r="B146" s="42" t="str">
        <f t="shared" si="37"/>
        <v/>
      </c>
      <c r="C146" s="17">
        <f t="shared" si="24"/>
        <v>0</v>
      </c>
      <c r="D146" s="17">
        <f t="shared" si="25"/>
        <v>0</v>
      </c>
      <c r="E146" s="17">
        <f t="shared" ca="1" si="26"/>
        <v>7</v>
      </c>
      <c r="F146" s="49">
        <f t="shared" ca="1" si="36"/>
        <v>49666</v>
      </c>
      <c r="G146" s="17">
        <v>114</v>
      </c>
      <c r="H146" s="17" t="str">
        <f t="shared" si="27"/>
        <v/>
      </c>
      <c r="I146" s="50" t="str">
        <f t="shared" si="28"/>
        <v/>
      </c>
      <c r="J146" s="51" t="str">
        <f t="shared" si="29"/>
        <v/>
      </c>
      <c r="K146" s="50" t="str">
        <f t="shared" si="30"/>
        <v/>
      </c>
      <c r="L146" s="52" t="str">
        <f>IF(LEN(H146)=0,IF(LEN(H145)&gt;0,SUM(L$32:L145)-L$32,""),IF(SYS!$AU$51="ануітет",IF(LEN(H147)=0,N146+M146,ROUND(PMT(SYS!$AG$52/12,D$8,$M$32),2))+P146,
IF(SYS!$AU$51="6 міс.% далі ануітет",IF(H146&lt;=6,N146,IF(LEN(H147)=0,N146+M146,ROUND(PMT(SYS!$AG$52/12,D$8-6,$M$32),2))+P146),
IF(SYS!$AU$51="3 міс.% далі ануітет",IF(H146&lt;=3,N146,IF(LEN(H147)=0,N146+M146,ROUND(PMT(SYS!$AG$52/12,D$8-3,$M$32),2))+P146),
IF(SYS!$AU$51="4 міс.% далі ануітет",IF(H146&lt;=4,N146,IF(LEN(H147)=0,N146+M146,ROUND(PMT(SYS!$AG$52/12,D$8-4,$M$32),2))+P146))))))</f>
        <v/>
      </c>
      <c r="M146" s="52" t="str">
        <f>IF(LEN(H146)=0,IF(LEN(H145)&gt;0,SUM(M$32:M145)-M$32,""),IF(LEN(H147)=0,SUM(M$32:M145)*-1,L146-N146-P146))</f>
        <v/>
      </c>
      <c r="N146" s="52" t="str">
        <f>IF(LEN(H146)=0,IF(LEN(H145)&gt;0,SUM(N$32:N145),""),ROUND((SUM(M$32:M145)*-1)*SYS!$AG$52/365*КАЛЬКУЛЯТОР!K146,2))</f>
        <v/>
      </c>
      <c r="O146" s="50" t="str">
        <f t="shared" si="31"/>
        <v/>
      </c>
      <c r="P146" s="52" t="str">
        <f>IF(LEN(H146)=0,IF(LEN(H145)&gt;0,SUM(P$32:P145),""),IF(SYS!$AV$51=SYS!$A$2,SUM(КАЛЬКУЛЯТОР!M$32:M145)*-1*$L$10,M$32*-1*L$10))</f>
        <v/>
      </c>
      <c r="Q146" s="53" t="str">
        <f t="shared" si="32"/>
        <v/>
      </c>
      <c r="R146" s="50" t="str">
        <f t="shared" si="33"/>
        <v/>
      </c>
      <c r="S146" s="50" t="str">
        <f t="shared" si="34"/>
        <v/>
      </c>
      <c r="T146" s="50" t="str">
        <f t="shared" si="35"/>
        <v/>
      </c>
      <c r="Y146" s="54" t="str">
        <f t="shared" si="38"/>
        <v/>
      </c>
      <c r="Z146" s="50" t="str">
        <f t="shared" si="39"/>
        <v/>
      </c>
    </row>
    <row r="147" spans="1:26" x14ac:dyDescent="0.2">
      <c r="A147" s="17" t="str">
        <f t="shared" si="22"/>
        <v/>
      </c>
      <c r="B147" s="42" t="str">
        <f t="shared" si="37"/>
        <v/>
      </c>
      <c r="C147" s="17">
        <f t="shared" si="24"/>
        <v>0</v>
      </c>
      <c r="D147" s="17">
        <f t="shared" si="25"/>
        <v>0</v>
      </c>
      <c r="E147" s="17">
        <f t="shared" ca="1" si="26"/>
        <v>3</v>
      </c>
      <c r="F147" s="49">
        <f t="shared" ca="1" si="36"/>
        <v>49697</v>
      </c>
      <c r="G147" s="17">
        <v>115</v>
      </c>
      <c r="H147" s="17" t="str">
        <f t="shared" si="27"/>
        <v/>
      </c>
      <c r="I147" s="50" t="str">
        <f t="shared" si="28"/>
        <v/>
      </c>
      <c r="J147" s="51" t="str">
        <f t="shared" si="29"/>
        <v/>
      </c>
      <c r="K147" s="50" t="str">
        <f t="shared" si="30"/>
        <v/>
      </c>
      <c r="L147" s="52" t="str">
        <f>IF(LEN(H147)=0,IF(LEN(H146)&gt;0,SUM(L$32:L146)-L$32,""),IF(SYS!$AU$51="ануітет",IF(LEN(H148)=0,N147+M147,ROUND(PMT(SYS!$AG$52/12,D$8,$M$32),2))+P147,
IF(SYS!$AU$51="6 міс.% далі ануітет",IF(H147&lt;=6,N147,IF(LEN(H148)=0,N147+M147,ROUND(PMT(SYS!$AG$52/12,D$8-6,$M$32),2))+P147),
IF(SYS!$AU$51="3 міс.% далі ануітет",IF(H147&lt;=3,N147,IF(LEN(H148)=0,N147+M147,ROUND(PMT(SYS!$AG$52/12,D$8-3,$M$32),2))+P147),
IF(SYS!$AU$51="4 міс.% далі ануітет",IF(H147&lt;=4,N147,IF(LEN(H148)=0,N147+M147,ROUND(PMT(SYS!$AG$52/12,D$8-4,$M$32),2))+P147))))))</f>
        <v/>
      </c>
      <c r="M147" s="52" t="str">
        <f>IF(LEN(H147)=0,IF(LEN(H146)&gt;0,SUM(M$32:M146)-M$32,""),IF(LEN(H148)=0,SUM(M$32:M146)*-1,L147-N147-P147))</f>
        <v/>
      </c>
      <c r="N147" s="52" t="str">
        <f>IF(LEN(H147)=0,IF(LEN(H146)&gt;0,SUM(N$32:N146),""),ROUND((SUM(M$32:M146)*-1)*SYS!$AG$52/365*КАЛЬКУЛЯТОР!K147,2))</f>
        <v/>
      </c>
      <c r="O147" s="50" t="str">
        <f t="shared" si="31"/>
        <v/>
      </c>
      <c r="P147" s="52" t="str">
        <f>IF(LEN(H147)=0,IF(LEN(H146)&gt;0,SUM(P$32:P146),""),IF(SYS!$AV$51=SYS!$A$2,SUM(КАЛЬКУЛЯТОР!M$32:M146)*-1*$L$10,M$32*-1*L$10))</f>
        <v/>
      </c>
      <c r="Q147" s="53" t="str">
        <f t="shared" si="32"/>
        <v/>
      </c>
      <c r="R147" s="50" t="str">
        <f t="shared" si="33"/>
        <v/>
      </c>
      <c r="S147" s="50" t="str">
        <f t="shared" si="34"/>
        <v/>
      </c>
      <c r="T147" s="50" t="str">
        <f t="shared" si="35"/>
        <v/>
      </c>
      <c r="Y147" s="54" t="str">
        <f t="shared" si="38"/>
        <v/>
      </c>
      <c r="Z147" s="50" t="str">
        <f t="shared" si="39"/>
        <v/>
      </c>
    </row>
    <row r="148" spans="1:26" x14ac:dyDescent="0.2">
      <c r="A148" s="17" t="str">
        <f t="shared" si="22"/>
        <v/>
      </c>
      <c r="B148" s="42" t="str">
        <f t="shared" si="37"/>
        <v/>
      </c>
      <c r="C148" s="17">
        <f t="shared" si="24"/>
        <v>0</v>
      </c>
      <c r="D148" s="17">
        <f t="shared" si="25"/>
        <v>0</v>
      </c>
      <c r="E148" s="17">
        <f t="shared" ca="1" si="26"/>
        <v>6</v>
      </c>
      <c r="F148" s="49">
        <f t="shared" ca="1" si="36"/>
        <v>49728</v>
      </c>
      <c r="G148" s="17">
        <v>116</v>
      </c>
      <c r="H148" s="17" t="str">
        <f t="shared" si="27"/>
        <v/>
      </c>
      <c r="I148" s="50" t="str">
        <f t="shared" si="28"/>
        <v/>
      </c>
      <c r="J148" s="51" t="str">
        <f t="shared" si="29"/>
        <v/>
      </c>
      <c r="K148" s="50" t="str">
        <f t="shared" si="30"/>
        <v/>
      </c>
      <c r="L148" s="52" t="str">
        <f>IF(LEN(H148)=0,IF(LEN(H147)&gt;0,SUM(L$32:L147)-L$32,""),IF(SYS!$AU$51="ануітет",IF(LEN(H149)=0,N148+M148,ROUND(PMT(SYS!$AG$52/12,D$8,$M$32),2))+P148,
IF(SYS!$AU$51="6 міс.% далі ануітет",IF(H148&lt;=6,N148,IF(LEN(H149)=0,N148+M148,ROUND(PMT(SYS!$AG$52/12,D$8-6,$M$32),2))+P148),
IF(SYS!$AU$51="3 міс.% далі ануітет",IF(H148&lt;=3,N148,IF(LEN(H149)=0,N148+M148,ROUND(PMT(SYS!$AG$52/12,D$8-3,$M$32),2))+P148),
IF(SYS!$AU$51="4 міс.% далі ануітет",IF(H148&lt;=4,N148,IF(LEN(H149)=0,N148+M148,ROUND(PMT(SYS!$AG$52/12,D$8-4,$M$32),2))+P148))))))</f>
        <v/>
      </c>
      <c r="M148" s="52" t="str">
        <f>IF(LEN(H148)=0,IF(LEN(H147)&gt;0,SUM(M$32:M147)-M$32,""),IF(LEN(H149)=0,SUM(M$32:M147)*-1,L148-N148-P148))</f>
        <v/>
      </c>
      <c r="N148" s="52" t="str">
        <f>IF(LEN(H148)=0,IF(LEN(H147)&gt;0,SUM(N$32:N147),""),ROUND((SUM(M$32:M147)*-1)*SYS!$AG$52/365*КАЛЬКУЛЯТОР!K148,2))</f>
        <v/>
      </c>
      <c r="O148" s="50" t="str">
        <f t="shared" si="31"/>
        <v/>
      </c>
      <c r="P148" s="52" t="str">
        <f>IF(LEN(H148)=0,IF(LEN(H147)&gt;0,SUM(P$32:P147),""),IF(SYS!$AV$51=SYS!$A$2,SUM(КАЛЬКУЛЯТОР!M$32:M147)*-1*$L$10,M$32*-1*L$10))</f>
        <v/>
      </c>
      <c r="Q148" s="53" t="str">
        <f t="shared" si="32"/>
        <v/>
      </c>
      <c r="R148" s="50" t="str">
        <f t="shared" si="33"/>
        <v/>
      </c>
      <c r="S148" s="50" t="str">
        <f t="shared" si="34"/>
        <v/>
      </c>
      <c r="T148" s="50" t="str">
        <f t="shared" si="35"/>
        <v/>
      </c>
      <c r="Y148" s="54" t="str">
        <f t="shared" si="38"/>
        <v/>
      </c>
      <c r="Z148" s="50" t="str">
        <f t="shared" si="39"/>
        <v/>
      </c>
    </row>
    <row r="149" spans="1:26" x14ac:dyDescent="0.2">
      <c r="A149" s="17" t="str">
        <f t="shared" si="22"/>
        <v/>
      </c>
      <c r="B149" s="42" t="str">
        <f t="shared" si="37"/>
        <v/>
      </c>
      <c r="C149" s="17">
        <f t="shared" si="24"/>
        <v>0</v>
      </c>
      <c r="D149" s="17">
        <f t="shared" si="25"/>
        <v>0</v>
      </c>
      <c r="E149" s="17">
        <f t="shared" ca="1" si="26"/>
        <v>7</v>
      </c>
      <c r="F149" s="49">
        <f t="shared" ca="1" si="36"/>
        <v>49757</v>
      </c>
      <c r="G149" s="17">
        <v>117</v>
      </c>
      <c r="H149" s="17" t="str">
        <f t="shared" si="27"/>
        <v/>
      </c>
      <c r="I149" s="50" t="str">
        <f t="shared" si="28"/>
        <v/>
      </c>
      <c r="J149" s="51" t="str">
        <f t="shared" si="29"/>
        <v/>
      </c>
      <c r="K149" s="50" t="str">
        <f t="shared" si="30"/>
        <v/>
      </c>
      <c r="L149" s="52" t="str">
        <f>IF(LEN(H149)=0,IF(LEN(H148)&gt;0,SUM(L$32:L148)-L$32,""),IF(SYS!$AU$51="ануітет",IF(LEN(H150)=0,N149+M149,ROUND(PMT(SYS!$AG$52/12,D$8,$M$32),2))+P149,
IF(SYS!$AU$51="6 міс.% далі ануітет",IF(H149&lt;=6,N149,IF(LEN(H150)=0,N149+M149,ROUND(PMT(SYS!$AG$52/12,D$8-6,$M$32),2))+P149),
IF(SYS!$AU$51="3 міс.% далі ануітет",IF(H149&lt;=3,N149,IF(LEN(H150)=0,N149+M149,ROUND(PMT(SYS!$AG$52/12,D$8-3,$M$32),2))+P149),
IF(SYS!$AU$51="4 міс.% далі ануітет",IF(H149&lt;=4,N149,IF(LEN(H150)=0,N149+M149,ROUND(PMT(SYS!$AG$52/12,D$8-4,$M$32),2))+P149))))))</f>
        <v/>
      </c>
      <c r="M149" s="52" t="str">
        <f>IF(LEN(H149)=0,IF(LEN(H148)&gt;0,SUM(M$32:M148)-M$32,""),IF(LEN(H150)=0,SUM(M$32:M148)*-1,L149-N149-P149))</f>
        <v/>
      </c>
      <c r="N149" s="52" t="str">
        <f>IF(LEN(H149)=0,IF(LEN(H148)&gt;0,SUM(N$32:N148),""),ROUND((SUM(M$32:M148)*-1)*SYS!$AG$52/365*КАЛЬКУЛЯТОР!K149,2))</f>
        <v/>
      </c>
      <c r="O149" s="50" t="str">
        <f t="shared" si="31"/>
        <v/>
      </c>
      <c r="P149" s="52" t="str">
        <f>IF(LEN(H149)=0,IF(LEN(H148)&gt;0,SUM(P$32:P148),""),IF(SYS!$AV$51=SYS!$A$2,SUM(КАЛЬКУЛЯТОР!M$32:M148)*-1*$L$10,M$32*-1*L$10))</f>
        <v/>
      </c>
      <c r="Q149" s="53" t="str">
        <f t="shared" si="32"/>
        <v/>
      </c>
      <c r="R149" s="50" t="str">
        <f t="shared" si="33"/>
        <v/>
      </c>
      <c r="S149" s="50" t="str">
        <f t="shared" si="34"/>
        <v/>
      </c>
      <c r="T149" s="50" t="str">
        <f t="shared" si="35"/>
        <v/>
      </c>
      <c r="Y149" s="54" t="str">
        <f t="shared" si="38"/>
        <v/>
      </c>
      <c r="Z149" s="50" t="str">
        <f t="shared" si="39"/>
        <v/>
      </c>
    </row>
    <row r="150" spans="1:26" x14ac:dyDescent="0.2">
      <c r="A150" s="17" t="str">
        <f t="shared" si="22"/>
        <v/>
      </c>
      <c r="B150" s="42" t="str">
        <f t="shared" si="37"/>
        <v/>
      </c>
      <c r="C150" s="17">
        <f t="shared" si="24"/>
        <v>0</v>
      </c>
      <c r="D150" s="17">
        <f t="shared" si="25"/>
        <v>0</v>
      </c>
      <c r="E150" s="17">
        <f t="shared" ca="1" si="26"/>
        <v>3</v>
      </c>
      <c r="F150" s="49">
        <f t="shared" ca="1" si="36"/>
        <v>49788</v>
      </c>
      <c r="G150" s="17">
        <v>118</v>
      </c>
      <c r="H150" s="17" t="str">
        <f t="shared" si="27"/>
        <v/>
      </c>
      <c r="I150" s="50" t="str">
        <f t="shared" si="28"/>
        <v/>
      </c>
      <c r="J150" s="51" t="str">
        <f t="shared" si="29"/>
        <v/>
      </c>
      <c r="K150" s="50" t="str">
        <f t="shared" si="30"/>
        <v/>
      </c>
      <c r="L150" s="52" t="str">
        <f>IF(LEN(H150)=0,IF(LEN(H149)&gt;0,SUM(L$32:L149)-L$32,""),IF(SYS!$AU$51="ануітет",IF(LEN(H151)=0,N150+M150,ROUND(PMT(SYS!$AG$52/12,D$8,$M$32),2))+P150,
IF(SYS!$AU$51="6 міс.% далі ануітет",IF(H150&lt;=6,N150,IF(LEN(H151)=0,N150+M150,ROUND(PMT(SYS!$AG$52/12,D$8-6,$M$32),2))+P150),
IF(SYS!$AU$51="3 міс.% далі ануітет",IF(H150&lt;=3,N150,IF(LEN(H151)=0,N150+M150,ROUND(PMT(SYS!$AG$52/12,D$8-3,$M$32),2))+P150),
IF(SYS!$AU$51="4 міс.% далі ануітет",IF(H150&lt;=4,N150,IF(LEN(H151)=0,N150+M150,ROUND(PMT(SYS!$AG$52/12,D$8-4,$M$32),2))+P150))))))</f>
        <v/>
      </c>
      <c r="M150" s="52" t="str">
        <f>IF(LEN(H150)=0,IF(LEN(H149)&gt;0,SUM(M$32:M149)-M$32,""),IF(LEN(H151)=0,SUM(M$32:M149)*-1,L150-N150-P150))</f>
        <v/>
      </c>
      <c r="N150" s="52" t="str">
        <f>IF(LEN(H150)=0,IF(LEN(H149)&gt;0,SUM(N$32:N149),""),ROUND((SUM(M$32:M149)*-1)*SYS!$AG$52/365*КАЛЬКУЛЯТОР!K150,2))</f>
        <v/>
      </c>
      <c r="O150" s="50" t="str">
        <f t="shared" si="31"/>
        <v/>
      </c>
      <c r="P150" s="52" t="str">
        <f>IF(LEN(H150)=0,IF(LEN(H149)&gt;0,SUM(P$32:P149),""),IF(SYS!$AV$51=SYS!$A$2,SUM(КАЛЬКУЛЯТОР!M$32:M149)*-1*$L$10,M$32*-1*L$10))</f>
        <v/>
      </c>
      <c r="Q150" s="53" t="str">
        <f t="shared" si="32"/>
        <v/>
      </c>
      <c r="R150" s="50" t="str">
        <f t="shared" si="33"/>
        <v/>
      </c>
      <c r="S150" s="50" t="str">
        <f t="shared" si="34"/>
        <v/>
      </c>
      <c r="T150" s="50" t="str">
        <f t="shared" si="35"/>
        <v/>
      </c>
      <c r="Y150" s="54" t="str">
        <f t="shared" si="38"/>
        <v/>
      </c>
      <c r="Z150" s="50" t="str">
        <f t="shared" si="39"/>
        <v/>
      </c>
    </row>
    <row r="151" spans="1:26" x14ac:dyDescent="0.2">
      <c r="A151" s="17" t="str">
        <f t="shared" si="22"/>
        <v/>
      </c>
      <c r="B151" s="42" t="str">
        <f t="shared" si="37"/>
        <v/>
      </c>
      <c r="C151" s="17">
        <f t="shared" si="24"/>
        <v>0</v>
      </c>
      <c r="D151" s="17">
        <f t="shared" si="25"/>
        <v>0</v>
      </c>
      <c r="E151" s="17">
        <f t="shared" ca="1" si="26"/>
        <v>5</v>
      </c>
      <c r="F151" s="49">
        <f t="shared" ca="1" si="36"/>
        <v>49818</v>
      </c>
      <c r="G151" s="17">
        <v>119</v>
      </c>
      <c r="H151" s="17" t="str">
        <f t="shared" si="27"/>
        <v/>
      </c>
      <c r="I151" s="50" t="str">
        <f t="shared" si="28"/>
        <v/>
      </c>
      <c r="J151" s="51" t="str">
        <f t="shared" si="29"/>
        <v/>
      </c>
      <c r="K151" s="50" t="str">
        <f t="shared" si="30"/>
        <v/>
      </c>
      <c r="L151" s="52" t="str">
        <f>IF(LEN(H151)=0,IF(LEN(H150)&gt;0,SUM(L$32:L150)-L$32,""),IF(SYS!$AU$51="ануітет",IF(LEN(H152)=0,N151+M151,ROUND(PMT(SYS!$AG$52/12,D$8,$M$32),2))+P151,
IF(SYS!$AU$51="6 міс.% далі ануітет",IF(H151&lt;=6,N151,IF(LEN(H152)=0,N151+M151,ROUND(PMT(SYS!$AG$52/12,D$8-6,$M$32),2))+P151),
IF(SYS!$AU$51="3 міс.% далі ануітет",IF(H151&lt;=3,N151,IF(LEN(H152)=0,N151+M151,ROUND(PMT(SYS!$AG$52/12,D$8-3,$M$32),2))+P151),
IF(SYS!$AU$51="4 міс.% далі ануітет",IF(H151&lt;=4,N151,IF(LEN(H152)=0,N151+M151,ROUND(PMT(SYS!$AG$52/12,D$8-4,$M$32),2))+P151))))))</f>
        <v/>
      </c>
      <c r="M151" s="52" t="str">
        <f>IF(LEN(H151)=0,IF(LEN(H150)&gt;0,SUM(M$32:M150)-M$32,""),IF(LEN(H152)=0,SUM(M$32:M150)*-1,L151-N151-P151))</f>
        <v/>
      </c>
      <c r="N151" s="52" t="str">
        <f>IF(LEN(H151)=0,IF(LEN(H150)&gt;0,SUM(N$32:N150),""),ROUND((SUM(M$32:M150)*-1)*SYS!$AG$52/365*КАЛЬКУЛЯТОР!K151,2))</f>
        <v/>
      </c>
      <c r="O151" s="50" t="str">
        <f t="shared" si="31"/>
        <v/>
      </c>
      <c r="P151" s="52" t="str">
        <f>IF(LEN(H151)=0,IF(LEN(H150)&gt;0,SUM(P$32:P150),""),IF(SYS!$AV$51=SYS!$A$2,SUM(КАЛЬКУЛЯТОР!M$32:M150)*-1*$L$10,M$32*-1*L$10))</f>
        <v/>
      </c>
      <c r="Q151" s="53" t="str">
        <f t="shared" si="32"/>
        <v/>
      </c>
      <c r="R151" s="50" t="str">
        <f t="shared" si="33"/>
        <v/>
      </c>
      <c r="S151" s="50" t="str">
        <f t="shared" si="34"/>
        <v/>
      </c>
      <c r="T151" s="50" t="str">
        <f t="shared" si="35"/>
        <v/>
      </c>
      <c r="Y151" s="54" t="str">
        <f t="shared" si="38"/>
        <v/>
      </c>
      <c r="Z151" s="50" t="str">
        <f t="shared" si="39"/>
        <v/>
      </c>
    </row>
    <row r="152" spans="1:26" x14ac:dyDescent="0.2">
      <c r="A152" s="17" t="str">
        <f t="shared" si="22"/>
        <v/>
      </c>
      <c r="B152" s="42" t="str">
        <f t="shared" si="37"/>
        <v/>
      </c>
      <c r="C152" s="17">
        <f t="shared" si="24"/>
        <v>0</v>
      </c>
      <c r="D152" s="17">
        <f t="shared" si="25"/>
        <v>0</v>
      </c>
      <c r="E152" s="17">
        <f t="shared" ca="1" si="26"/>
        <v>1</v>
      </c>
      <c r="F152" s="49">
        <f t="shared" ca="1" si="36"/>
        <v>49849</v>
      </c>
      <c r="G152" s="17">
        <v>120</v>
      </c>
      <c r="H152" s="17" t="str">
        <f t="shared" si="27"/>
        <v/>
      </c>
      <c r="I152" s="50" t="str">
        <f t="shared" si="28"/>
        <v/>
      </c>
      <c r="J152" s="51" t="str">
        <f t="shared" si="29"/>
        <v/>
      </c>
      <c r="K152" s="50" t="str">
        <f t="shared" si="30"/>
        <v/>
      </c>
      <c r="L152" s="52" t="str">
        <f>IF(LEN(H152)=0,IF(LEN(H151)&gt;0,SUM(L$32:L151)-L$32,""),IF(SYS!$AU$51="ануітет",IF(LEN(H153)=0,N152+M152,ROUND(PMT(SYS!$AG$52/12,D$8,$M$32),2))+P152,
IF(SYS!$AU$51="6 міс.% далі ануітет",IF(H152&lt;=6,N152,IF(LEN(H153)=0,N152+M152,ROUND(PMT(SYS!$AG$52/12,D$8-6,$M$32),2))+P152),
IF(SYS!$AU$51="3 міс.% далі ануітет",IF(H152&lt;=3,N152,IF(LEN(H153)=0,N152+M152,ROUND(PMT(SYS!$AG$52/12,D$8-3,$M$32),2))+P152),
IF(SYS!$AU$51="4 міс.% далі ануітет",IF(H152&lt;=4,N152,IF(LEN(H153)=0,N152+M152,ROUND(PMT(SYS!$AG$52/12,D$8-4,$M$32),2))+P152))))))</f>
        <v/>
      </c>
      <c r="M152" s="52" t="str">
        <f>IF(LEN(H152)=0,IF(LEN(H151)&gt;0,SUM(M$32:M151)-M$32,""),IF(LEN(H153)=0,SUM(M$32:M151)*-1,L152-N152-P152))</f>
        <v/>
      </c>
      <c r="N152" s="52" t="str">
        <f>IF(LEN(H152)=0,IF(LEN(H151)&gt;0,SUM(N$32:N151),""),ROUND((SUM(M$32:M151)*-1)*SYS!$AG$52/365*КАЛЬКУЛЯТОР!K152,2))</f>
        <v/>
      </c>
      <c r="O152" s="50" t="str">
        <f t="shared" si="31"/>
        <v/>
      </c>
      <c r="P152" s="52" t="str">
        <f>IF(LEN(H152)=0,IF(LEN(H151)&gt;0,SUM(P$32:P151),""),IF(SYS!$AV$51=SYS!$A$2,SUM(КАЛЬКУЛЯТОР!M$32:M151)*-1*$L$10,M$32*-1*L$10))</f>
        <v/>
      </c>
      <c r="Q152" s="53" t="str">
        <f t="shared" si="32"/>
        <v/>
      </c>
      <c r="R152" s="50" t="str">
        <f t="shared" si="33"/>
        <v/>
      </c>
      <c r="S152" s="50" t="str">
        <f t="shared" si="34"/>
        <v/>
      </c>
      <c r="T152" s="50" t="str">
        <f t="shared" si="35"/>
        <v/>
      </c>
      <c r="Y152" s="54" t="str">
        <f t="shared" si="38"/>
        <v/>
      </c>
      <c r="Z152" s="50" t="str">
        <f t="shared" si="39"/>
        <v/>
      </c>
    </row>
  </sheetData>
  <sheetProtection password="DE9E" sheet="1" objects="1" scenarios="1"/>
  <customSheetViews>
    <customSheetView guid="{4A3E60B2-3A41-4B7A-A9CB-F5CAF3E3C1DF}" showPageBreaks="1" showGridLines="0" printArea="1" hiddenColumns="1" view="pageBreakPreview" topLeftCell="I1">
      <selection activeCell="R11" sqref="R11"/>
      <pageMargins left="0.7" right="0.7" top="0.75" bottom="0.75" header="0.3" footer="0.3"/>
      <pageSetup paperSize="9" scale="48" orientation="portrait" horizontalDpi="0" verticalDpi="0" r:id="rId1"/>
    </customSheetView>
  </customSheetViews>
  <mergeCells count="22">
    <mergeCell ref="P5:P6"/>
    <mergeCell ref="I27:I30"/>
    <mergeCell ref="J27:J30"/>
    <mergeCell ref="K27:K30"/>
    <mergeCell ref="L27:L30"/>
    <mergeCell ref="N19:Z26"/>
    <mergeCell ref="I15:K16"/>
    <mergeCell ref="I14:K14"/>
    <mergeCell ref="I21:K21"/>
    <mergeCell ref="T29:X29"/>
    <mergeCell ref="L6:O6"/>
    <mergeCell ref="L8:O8"/>
    <mergeCell ref="P7:P8"/>
    <mergeCell ref="L17:Z18"/>
    <mergeCell ref="M27:X27"/>
    <mergeCell ref="Y27:Y30"/>
    <mergeCell ref="Z27:Z30"/>
    <mergeCell ref="M28:M30"/>
    <mergeCell ref="N28:N30"/>
    <mergeCell ref="O28:X28"/>
    <mergeCell ref="O29:Q29"/>
    <mergeCell ref="R29:S29"/>
  </mergeCells>
  <conditionalFormatting sqref="I15:K16">
    <cfRule type="containsText" dxfId="9" priority="1" operator="containsText" text="БУДЬ-ЛАСКА, оберіть лише одну із запропонованих знижок">
      <formula>NOT(ISERROR(SEARCH("БУДЬ-ЛАСКА, оберіть лише одну із запропонованих знижок",I15)))</formula>
    </cfRule>
  </conditionalFormatting>
  <conditionalFormatting sqref="I33:Z152">
    <cfRule type="expression" dxfId="8" priority="8">
      <formula>$B33=1</formula>
    </cfRule>
    <cfRule type="expression" dxfId="7" priority="11">
      <formula>LEN($H33)&gt;0</formula>
    </cfRule>
  </conditionalFormatting>
  <conditionalFormatting sqref="L14:L16">
    <cfRule type="expression" dxfId="6" priority="2">
      <formula>SUM($E$14:$E$16)&gt;1</formula>
    </cfRule>
    <cfRule type="expression" dxfId="5" priority="3">
      <formula>$E14=1</formula>
    </cfRule>
    <cfRule type="expression" dxfId="4" priority="10">
      <formula>$F14</formula>
    </cfRule>
  </conditionalFormatting>
  <conditionalFormatting sqref="L6:O6">
    <cfRule type="expression" dxfId="3" priority="9">
      <formula>$E$6&gt;0</formula>
    </cfRule>
  </conditionalFormatting>
  <conditionalFormatting sqref="L8:O8">
    <cfRule type="expression" dxfId="2" priority="6">
      <formula>$E$6&gt;0</formula>
    </cfRule>
  </conditionalFormatting>
  <conditionalFormatting sqref="P5:P6 L6:O6">
    <cfRule type="expression" dxfId="1" priority="7">
      <formula>$C$6=-1</formula>
    </cfRule>
  </conditionalFormatting>
  <conditionalFormatting sqref="P7:P8 L8:O8">
    <cfRule type="expression" dxfId="0" priority="5">
      <formula>$C$8=-1</formula>
    </cfRule>
  </conditionalFormatting>
  <dataValidations count="4">
    <dataValidation type="whole" allowBlank="1" showInputMessage="1" showErrorMessage="1" errorTitle="УВАГА" error="оберіть к-ість місяців в діапазоні який вказано вище" sqref="L8:O8" xr:uid="{00000000-0002-0000-0000-000000000000}">
      <formula1>M7</formula1>
      <formula2>O7</formula2>
    </dataValidation>
    <dataValidation type="whole" allowBlank="1" showInputMessage="1" showErrorMessage="1" errorTitle="УВАГА" error="Введіть суму кредиту в межах вказаних вище!" sqref="L6 N6" xr:uid="{00000000-0002-0000-0000-000001000000}">
      <formula1>M5</formula1>
      <formula2>O5</formula2>
    </dataValidation>
    <dataValidation type="whole" allowBlank="1" showInputMessage="1" showErrorMessage="1" errorTitle="УВАГА" error="Введіть суму кредиту в межах вказаних вище!" sqref="O6" xr:uid="{00000000-0002-0000-0000-000002000000}">
      <formula1>#REF!</formula1>
      <formula2>R5</formula2>
    </dataValidation>
    <dataValidation type="whole" allowBlank="1" showInputMessage="1" showErrorMessage="1" errorTitle="УВАГА" error="Введіть суму кредиту в межах вказаних вище!" sqref="M6" xr:uid="{00000000-0002-0000-0000-000003000000}">
      <formula1>N5</formula1>
      <formula2>#REF!</formula2>
    </dataValidation>
  </dataValidations>
  <pageMargins left="0.7" right="0.7" top="0.75" bottom="0.75" header="0.3" footer="0.3"/>
  <pageSetup paperSize="9" scale="47" orientation="portrait" horizontalDpi="0" verticalDpi="0" r:id="rId2"/>
  <ignoredErrors>
    <ignoredError sqref="L34:N46 M33:N33"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6390" r:id="rId5" name="Drop Down 6">
              <controlPr locked="0" defaultSize="0" autoLine="0" autoPict="0">
                <anchor moveWithCells="1">
                  <from>
                    <xdr:col>11</xdr:col>
                    <xdr:colOff>9525</xdr:colOff>
                    <xdr:row>2</xdr:row>
                    <xdr:rowOff>19050</xdr:rowOff>
                  </from>
                  <to>
                    <xdr:col>15</xdr:col>
                    <xdr:colOff>0</xdr:colOff>
                    <xdr:row>3</xdr:row>
                    <xdr:rowOff>9525</xdr:rowOff>
                  </to>
                </anchor>
              </controlPr>
            </control>
          </mc:Choice>
        </mc:AlternateContent>
        <mc:AlternateContent xmlns:mc="http://schemas.openxmlformats.org/markup-compatibility/2006">
          <mc:Choice Requires="x14">
            <control shapeId="16392" r:id="rId6" name="Drop Down 8">
              <controlPr locked="0" defaultSize="0" autoLine="0" autoPict="0">
                <anchor moveWithCells="1">
                  <from>
                    <xdr:col>11</xdr:col>
                    <xdr:colOff>9525</xdr:colOff>
                    <xdr:row>3</xdr:row>
                    <xdr:rowOff>9525</xdr:rowOff>
                  </from>
                  <to>
                    <xdr:col>15</xdr:col>
                    <xdr:colOff>0</xdr:colOff>
                    <xdr:row>4</xdr:row>
                    <xdr:rowOff>0</xdr:rowOff>
                  </to>
                </anchor>
              </controlPr>
            </control>
          </mc:Choice>
        </mc:AlternateContent>
        <mc:AlternateContent xmlns:mc="http://schemas.openxmlformats.org/markup-compatibility/2006">
          <mc:Choice Requires="x14">
            <control shapeId="16395" r:id="rId7" name="Check Box 11">
              <controlPr locked="0" defaultSize="0" autoFill="0" autoLine="0" autoPict="0">
                <anchor moveWithCells="1">
                  <from>
                    <xdr:col>11</xdr:col>
                    <xdr:colOff>0</xdr:colOff>
                    <xdr:row>12</xdr:row>
                    <xdr:rowOff>152400</xdr:rowOff>
                  </from>
                  <to>
                    <xdr:col>11</xdr:col>
                    <xdr:colOff>247650</xdr:colOff>
                    <xdr:row>14</xdr:row>
                    <xdr:rowOff>9525</xdr:rowOff>
                  </to>
                </anchor>
              </controlPr>
            </control>
          </mc:Choice>
        </mc:AlternateContent>
        <mc:AlternateContent xmlns:mc="http://schemas.openxmlformats.org/markup-compatibility/2006">
          <mc:Choice Requires="x14">
            <control shapeId="16396" r:id="rId8" name="Check Box 12">
              <controlPr locked="0" defaultSize="0" autoFill="0" autoLine="0" autoPict="0">
                <anchor moveWithCells="1">
                  <from>
                    <xdr:col>11</xdr:col>
                    <xdr:colOff>0</xdr:colOff>
                    <xdr:row>14</xdr:row>
                    <xdr:rowOff>152400</xdr:rowOff>
                  </from>
                  <to>
                    <xdr:col>11</xdr:col>
                    <xdr:colOff>247650</xdr:colOff>
                    <xdr:row>16</xdr:row>
                    <xdr:rowOff>9525</xdr:rowOff>
                  </to>
                </anchor>
              </controlPr>
            </control>
          </mc:Choice>
        </mc:AlternateContent>
        <mc:AlternateContent xmlns:mc="http://schemas.openxmlformats.org/markup-compatibility/2006">
          <mc:Choice Requires="x14">
            <control shapeId="16398" r:id="rId9" name="Check Box 14">
              <controlPr locked="0" defaultSize="0" autoFill="0" autoLine="0" autoPict="0">
                <anchor moveWithCells="1">
                  <from>
                    <xdr:col>11</xdr:col>
                    <xdr:colOff>0</xdr:colOff>
                    <xdr:row>13</xdr:row>
                    <xdr:rowOff>152400</xdr:rowOff>
                  </from>
                  <to>
                    <xdr:col>11</xdr:col>
                    <xdr:colOff>247650</xdr:colOff>
                    <xdr:row>15</xdr:row>
                    <xdr:rowOff>9525</xdr:rowOff>
                  </to>
                </anchor>
              </controlPr>
            </control>
          </mc:Choice>
        </mc:AlternateContent>
        <mc:AlternateContent xmlns:mc="http://schemas.openxmlformats.org/markup-compatibility/2006">
          <mc:Choice Requires="x14">
            <control shapeId="16399" r:id="rId10" name="Drop Down 15">
              <controlPr defaultSize="0" autoLine="0" autoPict="0">
                <anchor moveWithCells="1">
                  <from>
                    <xdr:col>16</xdr:col>
                    <xdr:colOff>714375</xdr:colOff>
                    <xdr:row>1</xdr:row>
                    <xdr:rowOff>9525</xdr:rowOff>
                  </from>
                  <to>
                    <xdr:col>17</xdr:col>
                    <xdr:colOff>733425</xdr:colOff>
                    <xdr:row>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AZ62"/>
  <sheetViews>
    <sheetView topLeftCell="H1" workbookViewId="0">
      <selection activeCell="BB23" sqref="BB23"/>
    </sheetView>
  </sheetViews>
  <sheetFormatPr defaultRowHeight="12.75" outlineLevelCol="1" x14ac:dyDescent="0.2"/>
  <cols>
    <col min="1" max="3" width="8.88671875" hidden="1" customWidth="1" outlineLevel="1"/>
    <col min="4" max="4" width="30.21875" hidden="1" customWidth="1" outlineLevel="1"/>
    <col min="5" max="5" width="40" hidden="1" customWidth="1" outlineLevel="1"/>
    <col min="6" max="6" width="8.88671875" hidden="1" customWidth="1" outlineLevel="1"/>
    <col min="7" max="7" width="11.77734375" hidden="1" customWidth="1" outlineLevel="1"/>
    <col min="8" max="8" width="14" customWidth="1" collapsed="1"/>
    <col min="9" max="9" width="30.5546875" hidden="1" customWidth="1" outlineLevel="1"/>
    <col min="10" max="10" width="8.88671875" hidden="1" customWidth="1" outlineLevel="1"/>
    <col min="11" max="12" width="11.6640625" hidden="1" customWidth="1" outlineLevel="1"/>
    <col min="13" max="16" width="8.88671875" hidden="1" customWidth="1" outlineLevel="1"/>
    <col min="17" max="17" width="41.21875" hidden="1" customWidth="1" outlineLevel="1"/>
    <col min="18" max="20" width="8.88671875" hidden="1" customWidth="1" outlineLevel="1"/>
    <col min="21" max="21" width="9.88671875" hidden="1" customWidth="1" outlineLevel="1"/>
    <col min="22" max="22" width="24" hidden="1" customWidth="1" outlineLevel="1"/>
    <col min="23" max="23" width="255.77734375" hidden="1" customWidth="1" outlineLevel="1"/>
    <col min="24" max="24" width="31.44140625" hidden="1" customWidth="1" outlineLevel="1"/>
    <col min="25" max="28" width="8.88671875" hidden="1" customWidth="1" outlineLevel="1"/>
    <col min="29" max="29" width="10.21875" style="60" customWidth="1" collapsed="1"/>
    <col min="30" max="30" width="7.88671875" hidden="1" customWidth="1" outlineLevel="1"/>
    <col min="31" max="35" width="8.88671875" hidden="1" customWidth="1" outlineLevel="1"/>
    <col min="36" max="36" width="9" hidden="1" customWidth="1" outlineLevel="1"/>
    <col min="37" max="37" width="9.109375" hidden="1" customWidth="1" outlineLevel="1"/>
    <col min="38" max="51" width="8.88671875" hidden="1" customWidth="1" outlineLevel="1"/>
    <col min="52" max="52" width="10.88671875" customWidth="1" collapsed="1"/>
  </cols>
  <sheetData>
    <row r="1" spans="1:52" x14ac:dyDescent="0.2">
      <c r="A1" s="2" t="s">
        <v>80</v>
      </c>
      <c r="B1" s="2" t="s">
        <v>76</v>
      </c>
      <c r="H1" s="2" t="s">
        <v>124</v>
      </c>
      <c r="J1">
        <v>4</v>
      </c>
      <c r="K1">
        <v>2</v>
      </c>
      <c r="L1">
        <v>3</v>
      </c>
      <c r="M1">
        <v>5</v>
      </c>
      <c r="N1">
        <v>6</v>
      </c>
      <c r="O1">
        <v>7</v>
      </c>
      <c r="P1">
        <v>8</v>
      </c>
      <c r="Q1">
        <v>9</v>
      </c>
      <c r="R1">
        <v>10</v>
      </c>
      <c r="S1">
        <v>11</v>
      </c>
      <c r="T1">
        <v>12</v>
      </c>
      <c r="U1">
        <v>13</v>
      </c>
      <c r="V1">
        <v>14</v>
      </c>
      <c r="W1">
        <v>15</v>
      </c>
      <c r="X1">
        <v>16</v>
      </c>
      <c r="Y1">
        <v>17</v>
      </c>
      <c r="Z1">
        <v>18</v>
      </c>
      <c r="AA1">
        <v>19</v>
      </c>
      <c r="AB1">
        <v>20</v>
      </c>
      <c r="AC1" s="58" t="s">
        <v>121</v>
      </c>
      <c r="AE1" s="7">
        <v>24</v>
      </c>
      <c r="AF1" s="7"/>
      <c r="AG1" s="7"/>
      <c r="AH1" s="7">
        <v>22</v>
      </c>
      <c r="AI1" s="7">
        <v>23</v>
      </c>
      <c r="AJ1" s="7">
        <v>25</v>
      </c>
      <c r="AK1" s="7">
        <v>26</v>
      </c>
      <c r="AL1" s="7">
        <v>27</v>
      </c>
      <c r="AM1" s="7">
        <v>28</v>
      </c>
      <c r="AN1" s="7">
        <v>29</v>
      </c>
      <c r="AO1" s="7">
        <v>30</v>
      </c>
      <c r="AP1" s="7">
        <v>31</v>
      </c>
      <c r="AQ1" s="7">
        <v>32</v>
      </c>
      <c r="AR1" s="7">
        <v>33</v>
      </c>
      <c r="AS1" s="7">
        <v>34</v>
      </c>
      <c r="AT1" s="7">
        <v>35</v>
      </c>
      <c r="AU1" s="7">
        <v>36</v>
      </c>
      <c r="AV1" s="7">
        <v>37</v>
      </c>
      <c r="AW1" s="7">
        <v>38</v>
      </c>
      <c r="AX1" s="7">
        <v>39</v>
      </c>
      <c r="AY1" s="7">
        <v>40</v>
      </c>
      <c r="AZ1" s="2" t="s">
        <v>123</v>
      </c>
    </row>
    <row r="2" spans="1:52" s="5" customFormat="1" ht="38.25" x14ac:dyDescent="0.2">
      <c r="A2" s="4" t="s">
        <v>81</v>
      </c>
      <c r="B2" s="4" t="s">
        <v>0</v>
      </c>
      <c r="D2" s="4" t="s">
        <v>98</v>
      </c>
      <c r="E2" s="3" t="s">
        <v>99</v>
      </c>
      <c r="F2" s="4" t="s">
        <v>8</v>
      </c>
      <c r="I2" s="4" t="s">
        <v>9</v>
      </c>
      <c r="J2" s="4" t="s">
        <v>12</v>
      </c>
      <c r="K2" s="4" t="s">
        <v>10</v>
      </c>
      <c r="L2" s="4" t="s">
        <v>11</v>
      </c>
      <c r="M2" s="4" t="s">
        <v>15</v>
      </c>
      <c r="N2" s="4" t="s">
        <v>16</v>
      </c>
      <c r="O2" s="4" t="s">
        <v>13</v>
      </c>
      <c r="P2" s="4" t="s">
        <v>14</v>
      </c>
      <c r="Q2" s="4" t="s">
        <v>17</v>
      </c>
      <c r="R2" s="4" t="s">
        <v>18</v>
      </c>
      <c r="S2" s="4" t="s">
        <v>19</v>
      </c>
      <c r="T2" s="4" t="s">
        <v>20</v>
      </c>
      <c r="U2" s="4" t="s">
        <v>21</v>
      </c>
      <c r="V2" s="4" t="s">
        <v>22</v>
      </c>
      <c r="W2" s="4" t="s">
        <v>23</v>
      </c>
      <c r="X2" s="4" t="s">
        <v>78</v>
      </c>
      <c r="Y2" s="4" t="s">
        <v>79</v>
      </c>
      <c r="AC2" s="59" t="s">
        <v>122</v>
      </c>
      <c r="AE2" s="4" t="s">
        <v>12</v>
      </c>
      <c r="AF2" s="4"/>
      <c r="AG2" s="4" t="s">
        <v>25</v>
      </c>
      <c r="AH2" s="4" t="s">
        <v>10</v>
      </c>
      <c r="AI2" s="4" t="s">
        <v>11</v>
      </c>
      <c r="AJ2" s="4" t="s">
        <v>15</v>
      </c>
      <c r="AK2" s="4" t="s">
        <v>16</v>
      </c>
      <c r="AL2" s="4" t="s">
        <v>13</v>
      </c>
      <c r="AM2" s="4" t="s">
        <v>14</v>
      </c>
      <c r="AN2" s="4" t="s">
        <v>17</v>
      </c>
      <c r="AO2" s="4" t="s">
        <v>18</v>
      </c>
      <c r="AP2" s="4" t="s">
        <v>19</v>
      </c>
      <c r="AQ2" s="4" t="s">
        <v>20</v>
      </c>
      <c r="AR2" s="4" t="s">
        <v>21</v>
      </c>
      <c r="AS2" s="4" t="s">
        <v>22</v>
      </c>
      <c r="AT2" s="4" t="s">
        <v>23</v>
      </c>
    </row>
    <row r="3" spans="1:52" x14ac:dyDescent="0.2">
      <c r="A3" s="2" t="s">
        <v>82</v>
      </c>
      <c r="B3" s="2" t="s">
        <v>74</v>
      </c>
      <c r="C3" s="1">
        <v>1</v>
      </c>
      <c r="D3" s="1" t="s">
        <v>3</v>
      </c>
      <c r="E3" s="16" t="s">
        <v>92</v>
      </c>
      <c r="F3">
        <v>1</v>
      </c>
      <c r="G3">
        <f>VLOOKUP(H3,C3:E21,2,FALSE)</f>
        <v>0</v>
      </c>
      <c r="H3" s="6">
        <f>КАЛЬКУЛЯТОР!L3</f>
        <v>15</v>
      </c>
      <c r="I3" s="75" t="s">
        <v>3</v>
      </c>
      <c r="J3" s="96">
        <v>1.4279999999999999</v>
      </c>
      <c r="K3" s="66">
        <v>0</v>
      </c>
      <c r="L3" s="66">
        <v>0</v>
      </c>
      <c r="M3" s="67">
        <v>500</v>
      </c>
      <c r="N3" s="67">
        <v>8650</v>
      </c>
      <c r="O3" s="67">
        <v>1</v>
      </c>
      <c r="P3" s="67">
        <v>12</v>
      </c>
      <c r="Q3" s="68" t="s">
        <v>102</v>
      </c>
      <c r="R3" s="68" t="s">
        <v>102</v>
      </c>
      <c r="S3" s="69" t="s">
        <v>119</v>
      </c>
      <c r="T3" s="68" t="s">
        <v>102</v>
      </c>
      <c r="U3" s="68" t="s">
        <v>102</v>
      </c>
      <c r="V3" s="68" t="s">
        <v>102</v>
      </c>
      <c r="W3" s="70"/>
      <c r="X3" s="71" t="s">
        <v>0</v>
      </c>
      <c r="Y3" s="70"/>
      <c r="Z3" s="72"/>
      <c r="AA3" s="72"/>
      <c r="AB3" s="72"/>
      <c r="AC3" s="58"/>
      <c r="AD3">
        <v>1</v>
      </c>
      <c r="AE3" s="9" t="str">
        <f>IF($I3=$G$3,J3,"")</f>
        <v/>
      </c>
      <c r="AF3" s="9" t="str">
        <f>IF(LEN(AE3)=0,"",CONCATENATE(AE3*100,"%  (від ",M3," до ",N3," грн. на строк ",O3,"-",P3," міс.)"))</f>
        <v/>
      </c>
      <c r="AG3" s="9" t="str">
        <f t="shared" ref="AG3:AG10" si="0">IF(AD3=$H$4,AE3,"")</f>
        <v/>
      </c>
      <c r="AH3" s="1" t="str">
        <f t="shared" ref="AH3:AY3" si="1">IF(LEN($AG3)=0,"",K3)</f>
        <v/>
      </c>
      <c r="AI3" s="1" t="str">
        <f t="shared" si="1"/>
        <v/>
      </c>
      <c r="AJ3" s="1" t="str">
        <f t="shared" si="1"/>
        <v/>
      </c>
      <c r="AK3" s="1" t="str">
        <f t="shared" si="1"/>
        <v/>
      </c>
      <c r="AL3" s="1" t="str">
        <f t="shared" si="1"/>
        <v/>
      </c>
      <c r="AM3" s="1" t="str">
        <f t="shared" si="1"/>
        <v/>
      </c>
      <c r="AN3" s="1" t="str">
        <f t="shared" si="1"/>
        <v/>
      </c>
      <c r="AO3" s="1" t="str">
        <f t="shared" si="1"/>
        <v/>
      </c>
      <c r="AP3" s="1" t="str">
        <f t="shared" si="1"/>
        <v/>
      </c>
      <c r="AQ3" s="1" t="str">
        <f t="shared" si="1"/>
        <v/>
      </c>
      <c r="AR3" s="1" t="str">
        <f t="shared" si="1"/>
        <v/>
      </c>
      <c r="AS3" s="1" t="str">
        <f t="shared" si="1"/>
        <v/>
      </c>
      <c r="AT3" s="1" t="str">
        <f t="shared" si="1"/>
        <v/>
      </c>
      <c r="AU3" s="1" t="str">
        <f t="shared" si="1"/>
        <v/>
      </c>
      <c r="AV3" s="1" t="str">
        <f t="shared" si="1"/>
        <v/>
      </c>
      <c r="AW3" s="1" t="str">
        <f t="shared" si="1"/>
        <v/>
      </c>
      <c r="AX3" s="1" t="str">
        <f t="shared" si="1"/>
        <v/>
      </c>
      <c r="AY3" s="1" t="str">
        <f t="shared" si="1"/>
        <v/>
      </c>
    </row>
    <row r="4" spans="1:52" x14ac:dyDescent="0.2">
      <c r="B4" s="2" t="s">
        <v>77</v>
      </c>
      <c r="C4" s="1">
        <v>2</v>
      </c>
      <c r="D4" s="1" t="s">
        <v>4</v>
      </c>
      <c r="E4" s="16" t="s">
        <v>93</v>
      </c>
      <c r="F4">
        <v>2</v>
      </c>
      <c r="H4" s="6">
        <f>КАЛЬКУЛЯТОР!L4</f>
        <v>27</v>
      </c>
      <c r="I4" s="75" t="s">
        <v>4</v>
      </c>
      <c r="J4" s="96">
        <v>0.89900000000000002</v>
      </c>
      <c r="K4" s="66">
        <v>0</v>
      </c>
      <c r="L4" s="66">
        <v>0</v>
      </c>
      <c r="M4" s="67">
        <v>10000</v>
      </c>
      <c r="N4" s="67">
        <v>300000</v>
      </c>
      <c r="O4" s="67">
        <v>12</v>
      </c>
      <c r="P4" s="67">
        <v>24</v>
      </c>
      <c r="Q4" s="68" t="s">
        <v>102</v>
      </c>
      <c r="R4" s="68" t="s">
        <v>102</v>
      </c>
      <c r="S4" s="69" t="s">
        <v>119</v>
      </c>
      <c r="T4" s="68" t="s">
        <v>102</v>
      </c>
      <c r="U4" s="73"/>
      <c r="V4" s="68" t="s">
        <v>102</v>
      </c>
      <c r="W4" s="71"/>
      <c r="X4" s="71" t="s">
        <v>0</v>
      </c>
      <c r="Y4" s="70"/>
      <c r="Z4" s="72"/>
      <c r="AA4" s="72"/>
      <c r="AB4" s="72"/>
      <c r="AC4" s="58"/>
      <c r="AD4">
        <v>2</v>
      </c>
      <c r="AE4" s="9" t="str">
        <f t="shared" ref="AE4:AE13" si="2">IF($I4=$G$3,J4,"")</f>
        <v/>
      </c>
      <c r="AF4" s="9" t="str">
        <f t="shared" ref="AF4:AF13" si="3">IF(LEN(AE4)=0,"",CONCATENATE(AE4*100,"%  (від ",M4," до ",N4," грн. на строк ",O4,"-",P4," міс.)"))</f>
        <v/>
      </c>
      <c r="AG4" s="9" t="str">
        <f t="shared" si="0"/>
        <v/>
      </c>
      <c r="AH4" s="1" t="str">
        <f t="shared" ref="AH4:AH13" si="4">IF(LEN($AG4)=0,"",K4)</f>
        <v/>
      </c>
      <c r="AI4" s="1" t="str">
        <f t="shared" ref="AI4:AI13" si="5">IF(LEN($AG4)=0,"",L4)</f>
        <v/>
      </c>
      <c r="AJ4" s="1" t="str">
        <f t="shared" ref="AJ4:AJ13" si="6">IF(LEN($AG4)=0,"",M4)</f>
        <v/>
      </c>
      <c r="AK4" s="1" t="str">
        <f t="shared" ref="AK4:AK13" si="7">IF(LEN($AG4)=0,"",N4)</f>
        <v/>
      </c>
      <c r="AL4" s="1" t="str">
        <f t="shared" ref="AL4:AL13" si="8">IF(LEN($AG4)=0,"",O4)</f>
        <v/>
      </c>
      <c r="AM4" s="1" t="str">
        <f t="shared" ref="AM4:AM13" si="9">IF(LEN($AG4)=0,"",P4)</f>
        <v/>
      </c>
      <c r="AN4" s="1" t="str">
        <f t="shared" ref="AN4:AN13" si="10">IF(LEN($AG4)=0,"",Q4)</f>
        <v/>
      </c>
      <c r="AO4" s="1" t="str">
        <f t="shared" ref="AO4:AO13" si="11">IF(LEN($AG4)=0,"",R4)</f>
        <v/>
      </c>
      <c r="AP4" s="1" t="str">
        <f t="shared" ref="AP4:AP13" si="12">IF(LEN($AG4)=0,"",S4)</f>
        <v/>
      </c>
      <c r="AQ4" s="1" t="str">
        <f t="shared" ref="AQ4:AQ13" si="13">IF(LEN($AG4)=0,"",T4)</f>
        <v/>
      </c>
      <c r="AR4" s="1" t="str">
        <f t="shared" ref="AR4:AR13" si="14">IF(LEN($AG4)=0,"",U4)</f>
        <v/>
      </c>
      <c r="AS4" s="1" t="str">
        <f t="shared" ref="AS4:AS13" si="15">IF(LEN($AG4)=0,"",V4)</f>
        <v/>
      </c>
      <c r="AT4" s="1" t="str">
        <f t="shared" ref="AT4:AT13" si="16">IF(LEN($AG4)=0,"",W4)</f>
        <v/>
      </c>
      <c r="AU4" s="1" t="str">
        <f t="shared" ref="AU4:AU13" si="17">IF(LEN($AG4)=0,"",X4)</f>
        <v/>
      </c>
      <c r="AV4" s="1" t="str">
        <f t="shared" ref="AV4:AV13" si="18">IF(LEN($AG4)=0,"",Y4)</f>
        <v/>
      </c>
      <c r="AW4" s="1" t="str">
        <f t="shared" ref="AW4:AW13" si="19">IF(LEN($AG4)=0,"",Z4)</f>
        <v/>
      </c>
      <c r="AX4" s="1" t="str">
        <f t="shared" ref="AX4:AX13" si="20">IF(LEN($AG4)=0,"",AA4)</f>
        <v/>
      </c>
      <c r="AY4" s="1" t="str">
        <f t="shared" ref="AY4:AY13" si="21">IF(LEN($AG4)=0,"",AB4)</f>
        <v/>
      </c>
    </row>
    <row r="5" spans="1:52" x14ac:dyDescent="0.2">
      <c r="B5" s="2" t="s">
        <v>97</v>
      </c>
      <c r="C5" s="1">
        <v>3</v>
      </c>
      <c r="D5" s="122" t="s">
        <v>138</v>
      </c>
      <c r="E5" s="16" t="s">
        <v>151</v>
      </c>
      <c r="F5">
        <v>3</v>
      </c>
      <c r="I5" s="75" t="s">
        <v>4</v>
      </c>
      <c r="J5" s="96">
        <v>0.65900000000000003</v>
      </c>
      <c r="K5" s="66">
        <v>0</v>
      </c>
      <c r="L5" s="66">
        <v>0</v>
      </c>
      <c r="M5" s="67">
        <v>10000</v>
      </c>
      <c r="N5" s="67">
        <v>550000</v>
      </c>
      <c r="O5" s="67">
        <v>12</v>
      </c>
      <c r="P5" s="67">
        <v>48</v>
      </c>
      <c r="Q5" s="68" t="s">
        <v>102</v>
      </c>
      <c r="R5" s="68" t="s">
        <v>102</v>
      </c>
      <c r="S5" s="69" t="s">
        <v>119</v>
      </c>
      <c r="T5" s="68" t="s">
        <v>102</v>
      </c>
      <c r="U5" s="73"/>
      <c r="V5" s="68" t="s">
        <v>102</v>
      </c>
      <c r="W5" s="71" t="s">
        <v>24</v>
      </c>
      <c r="X5" s="71" t="s">
        <v>0</v>
      </c>
      <c r="Y5" s="70"/>
      <c r="Z5" s="72"/>
      <c r="AA5" s="72"/>
      <c r="AB5" s="72"/>
      <c r="AC5" s="58"/>
      <c r="AD5">
        <v>3</v>
      </c>
      <c r="AE5" s="9" t="str">
        <f t="shared" si="2"/>
        <v/>
      </c>
      <c r="AF5" s="9" t="str">
        <f t="shared" si="3"/>
        <v/>
      </c>
      <c r="AG5" s="9" t="str">
        <f t="shared" si="0"/>
        <v/>
      </c>
      <c r="AH5" s="1" t="str">
        <f t="shared" si="4"/>
        <v/>
      </c>
      <c r="AI5" s="1" t="str">
        <f t="shared" si="5"/>
        <v/>
      </c>
      <c r="AJ5" s="1" t="str">
        <f t="shared" si="6"/>
        <v/>
      </c>
      <c r="AK5" s="1" t="str">
        <f t="shared" si="7"/>
        <v/>
      </c>
      <c r="AL5" s="1" t="str">
        <f t="shared" si="8"/>
        <v/>
      </c>
      <c r="AM5" s="1" t="str">
        <f t="shared" si="9"/>
        <v/>
      </c>
      <c r="AN5" s="1" t="str">
        <f t="shared" si="10"/>
        <v/>
      </c>
      <c r="AO5" s="1" t="str">
        <f t="shared" si="11"/>
        <v/>
      </c>
      <c r="AP5" s="1" t="str">
        <f t="shared" si="12"/>
        <v/>
      </c>
      <c r="AQ5" s="1" t="str">
        <f t="shared" si="13"/>
        <v/>
      </c>
      <c r="AR5" s="1" t="str">
        <f t="shared" si="14"/>
        <v/>
      </c>
      <c r="AS5" s="1" t="str">
        <f t="shared" si="15"/>
        <v/>
      </c>
      <c r="AT5" s="1" t="str">
        <f t="shared" si="16"/>
        <v/>
      </c>
      <c r="AU5" s="1" t="str">
        <f t="shared" si="17"/>
        <v/>
      </c>
      <c r="AV5" s="1" t="str">
        <f t="shared" si="18"/>
        <v/>
      </c>
      <c r="AW5" s="1" t="str">
        <f t="shared" si="19"/>
        <v/>
      </c>
      <c r="AX5" s="1" t="str">
        <f t="shared" si="20"/>
        <v/>
      </c>
      <c r="AY5" s="1" t="str">
        <f t="shared" si="21"/>
        <v/>
      </c>
    </row>
    <row r="6" spans="1:52" x14ac:dyDescent="0.2">
      <c r="B6" s="2" t="s">
        <v>101</v>
      </c>
      <c r="C6" s="1">
        <v>4</v>
      </c>
      <c r="D6" s="98" t="s">
        <v>5</v>
      </c>
      <c r="E6" s="16" t="s">
        <v>137</v>
      </c>
      <c r="F6">
        <v>4</v>
      </c>
      <c r="I6" s="75" t="s">
        <v>4</v>
      </c>
      <c r="J6" s="96">
        <v>0.629</v>
      </c>
      <c r="K6" s="66">
        <v>0</v>
      </c>
      <c r="L6" s="66">
        <v>0</v>
      </c>
      <c r="M6" s="67">
        <v>50000</v>
      </c>
      <c r="N6" s="67">
        <v>800000</v>
      </c>
      <c r="O6" s="67">
        <v>12</v>
      </c>
      <c r="P6" s="67">
        <v>60</v>
      </c>
      <c r="Q6" s="68" t="s">
        <v>109</v>
      </c>
      <c r="R6" s="68" t="s">
        <v>102</v>
      </c>
      <c r="S6" s="69" t="s">
        <v>119</v>
      </c>
      <c r="T6" s="68" t="s">
        <v>102</v>
      </c>
      <c r="U6" s="73"/>
      <c r="V6" s="68" t="s">
        <v>112</v>
      </c>
      <c r="W6" s="70"/>
      <c r="X6" s="71" t="s">
        <v>0</v>
      </c>
      <c r="Y6" s="70"/>
      <c r="Z6" s="72"/>
      <c r="AA6" s="72"/>
      <c r="AB6" s="72"/>
      <c r="AC6" s="58"/>
      <c r="AD6">
        <v>4</v>
      </c>
      <c r="AE6" s="9" t="str">
        <f t="shared" si="2"/>
        <v/>
      </c>
      <c r="AF6" s="9" t="str">
        <f t="shared" si="3"/>
        <v/>
      </c>
      <c r="AG6" s="9" t="str">
        <f t="shared" si="0"/>
        <v/>
      </c>
      <c r="AH6" s="1" t="str">
        <f t="shared" si="4"/>
        <v/>
      </c>
      <c r="AI6" s="1" t="str">
        <f t="shared" si="5"/>
        <v/>
      </c>
      <c r="AJ6" s="1" t="str">
        <f t="shared" si="6"/>
        <v/>
      </c>
      <c r="AK6" s="1" t="str">
        <f t="shared" si="7"/>
        <v/>
      </c>
      <c r="AL6" s="1" t="str">
        <f t="shared" si="8"/>
        <v/>
      </c>
      <c r="AM6" s="1" t="str">
        <f t="shared" si="9"/>
        <v/>
      </c>
      <c r="AN6" s="1" t="str">
        <f t="shared" si="10"/>
        <v/>
      </c>
      <c r="AO6" s="1" t="str">
        <f t="shared" si="11"/>
        <v/>
      </c>
      <c r="AP6" s="1" t="str">
        <f t="shared" si="12"/>
        <v/>
      </c>
      <c r="AQ6" s="1" t="str">
        <f t="shared" si="13"/>
        <v/>
      </c>
      <c r="AR6" s="1" t="str">
        <f t="shared" si="14"/>
        <v/>
      </c>
      <c r="AS6" s="1" t="str">
        <f t="shared" si="15"/>
        <v/>
      </c>
      <c r="AT6" s="1" t="str">
        <f t="shared" si="16"/>
        <v/>
      </c>
      <c r="AU6" s="1" t="str">
        <f t="shared" si="17"/>
        <v/>
      </c>
      <c r="AV6" s="1" t="str">
        <f t="shared" si="18"/>
        <v/>
      </c>
      <c r="AW6" s="1" t="str">
        <f t="shared" si="19"/>
        <v/>
      </c>
      <c r="AX6" s="1" t="str">
        <f t="shared" si="20"/>
        <v/>
      </c>
      <c r="AY6" s="1" t="str">
        <f t="shared" si="21"/>
        <v/>
      </c>
    </row>
    <row r="7" spans="1:52" x14ac:dyDescent="0.2">
      <c r="C7" s="1">
        <v>5</v>
      </c>
      <c r="D7" s="98" t="s">
        <v>6</v>
      </c>
      <c r="E7" s="16" t="s">
        <v>91</v>
      </c>
      <c r="F7">
        <v>5</v>
      </c>
      <c r="I7" s="75" t="s">
        <v>4</v>
      </c>
      <c r="J7" s="96">
        <v>0.28499999999999998</v>
      </c>
      <c r="K7" s="66">
        <v>0</v>
      </c>
      <c r="L7" s="66">
        <v>0</v>
      </c>
      <c r="M7" s="67">
        <v>10000</v>
      </c>
      <c r="N7" s="67">
        <v>800000</v>
      </c>
      <c r="O7" s="67">
        <v>1</v>
      </c>
      <c r="P7" s="67">
        <v>24</v>
      </c>
      <c r="Q7" s="68" t="s">
        <v>110</v>
      </c>
      <c r="R7" s="68" t="s">
        <v>102</v>
      </c>
      <c r="S7" s="68" t="s">
        <v>102</v>
      </c>
      <c r="T7" s="68" t="s">
        <v>102</v>
      </c>
      <c r="U7" s="73" t="s">
        <v>102</v>
      </c>
      <c r="V7" s="68" t="s">
        <v>102</v>
      </c>
      <c r="W7" s="70"/>
      <c r="X7" s="71" t="s">
        <v>74</v>
      </c>
      <c r="Y7" s="70"/>
      <c r="Z7" s="72"/>
      <c r="AA7" s="72"/>
      <c r="AB7" s="72"/>
      <c r="AC7" s="58"/>
      <c r="AD7">
        <v>5</v>
      </c>
      <c r="AE7" s="9" t="str">
        <f t="shared" si="2"/>
        <v/>
      </c>
      <c r="AF7" s="9" t="str">
        <f t="shared" si="3"/>
        <v/>
      </c>
      <c r="AG7" s="9" t="str">
        <f t="shared" si="0"/>
        <v/>
      </c>
      <c r="AH7" s="1" t="str">
        <f t="shared" si="4"/>
        <v/>
      </c>
      <c r="AI7" s="1" t="str">
        <f t="shared" si="5"/>
        <v/>
      </c>
      <c r="AJ7" s="1" t="str">
        <f t="shared" si="6"/>
        <v/>
      </c>
      <c r="AK7" s="1" t="str">
        <f t="shared" si="7"/>
        <v/>
      </c>
      <c r="AL7" s="1" t="str">
        <f t="shared" si="8"/>
        <v/>
      </c>
      <c r="AM7" s="1" t="str">
        <f t="shared" si="9"/>
        <v/>
      </c>
      <c r="AN7" s="1" t="str">
        <f t="shared" si="10"/>
        <v/>
      </c>
      <c r="AO7" s="1" t="str">
        <f t="shared" si="11"/>
        <v/>
      </c>
      <c r="AP7" s="1" t="str">
        <f t="shared" si="12"/>
        <v/>
      </c>
      <c r="AQ7" s="1" t="str">
        <f t="shared" si="13"/>
        <v/>
      </c>
      <c r="AR7" s="1" t="str">
        <f t="shared" si="14"/>
        <v/>
      </c>
      <c r="AS7" s="1" t="str">
        <f t="shared" si="15"/>
        <v/>
      </c>
      <c r="AT7" s="1" t="str">
        <f t="shared" si="16"/>
        <v/>
      </c>
      <c r="AU7" s="1" t="str">
        <f t="shared" si="17"/>
        <v/>
      </c>
      <c r="AV7" s="1" t="str">
        <f t="shared" si="18"/>
        <v/>
      </c>
      <c r="AW7" s="1" t="str">
        <f t="shared" si="19"/>
        <v/>
      </c>
      <c r="AX7" s="1" t="str">
        <f t="shared" si="20"/>
        <v/>
      </c>
      <c r="AY7" s="1" t="str">
        <f t="shared" si="21"/>
        <v/>
      </c>
    </row>
    <row r="8" spans="1:52" x14ac:dyDescent="0.2">
      <c r="C8" s="1">
        <v>6</v>
      </c>
      <c r="D8" s="1" t="s">
        <v>128</v>
      </c>
      <c r="E8" s="16" t="s">
        <v>129</v>
      </c>
      <c r="F8">
        <v>6</v>
      </c>
      <c r="I8" s="123" t="s">
        <v>138</v>
      </c>
      <c r="J8" s="96">
        <v>0.69899999999999995</v>
      </c>
      <c r="K8" s="66">
        <v>0</v>
      </c>
      <c r="L8" s="66">
        <v>0</v>
      </c>
      <c r="M8" s="67">
        <v>10000</v>
      </c>
      <c r="N8" s="67">
        <v>500000</v>
      </c>
      <c r="O8" s="67">
        <v>12</v>
      </c>
      <c r="P8" s="67">
        <v>36</v>
      </c>
      <c r="Q8" s="68" t="s">
        <v>102</v>
      </c>
      <c r="R8" s="69" t="s">
        <v>75</v>
      </c>
      <c r="S8" s="69" t="s">
        <v>119</v>
      </c>
      <c r="T8" s="68" t="s">
        <v>102</v>
      </c>
      <c r="U8" s="73"/>
      <c r="V8" s="68" t="s">
        <v>102</v>
      </c>
      <c r="W8" s="70"/>
      <c r="X8" s="70" t="s">
        <v>77</v>
      </c>
      <c r="Y8" s="70"/>
      <c r="Z8" s="72"/>
      <c r="AA8" s="72"/>
      <c r="AB8" s="72"/>
      <c r="AC8" s="58"/>
      <c r="AD8">
        <v>6</v>
      </c>
      <c r="AE8" s="9" t="str">
        <f t="shared" si="2"/>
        <v/>
      </c>
      <c r="AF8" s="9" t="str">
        <f t="shared" si="3"/>
        <v/>
      </c>
      <c r="AG8" s="9" t="str">
        <f t="shared" si="0"/>
        <v/>
      </c>
      <c r="AH8" s="1" t="str">
        <f t="shared" si="4"/>
        <v/>
      </c>
      <c r="AI8" s="1" t="str">
        <f t="shared" si="5"/>
        <v/>
      </c>
      <c r="AJ8" s="1" t="str">
        <f t="shared" si="6"/>
        <v/>
      </c>
      <c r="AK8" s="1" t="str">
        <f t="shared" si="7"/>
        <v/>
      </c>
      <c r="AL8" s="1" t="str">
        <f t="shared" si="8"/>
        <v/>
      </c>
      <c r="AM8" s="1" t="str">
        <f t="shared" si="9"/>
        <v/>
      </c>
      <c r="AN8" s="1" t="str">
        <f t="shared" si="10"/>
        <v/>
      </c>
      <c r="AO8" s="1" t="str">
        <f t="shared" si="11"/>
        <v/>
      </c>
      <c r="AP8" s="1" t="str">
        <f t="shared" si="12"/>
        <v/>
      </c>
      <c r="AQ8" s="1" t="str">
        <f t="shared" si="13"/>
        <v/>
      </c>
      <c r="AR8" s="1" t="str">
        <f t="shared" si="14"/>
        <v/>
      </c>
      <c r="AS8" s="1" t="str">
        <f t="shared" si="15"/>
        <v/>
      </c>
      <c r="AT8" s="1" t="str">
        <f t="shared" si="16"/>
        <v/>
      </c>
      <c r="AU8" s="1" t="str">
        <f t="shared" si="17"/>
        <v/>
      </c>
      <c r="AV8" s="1" t="str">
        <f t="shared" si="18"/>
        <v/>
      </c>
      <c r="AW8" s="1" t="str">
        <f t="shared" si="19"/>
        <v/>
      </c>
      <c r="AX8" s="1" t="str">
        <f t="shared" si="20"/>
        <v/>
      </c>
      <c r="AY8" s="1" t="str">
        <f t="shared" si="21"/>
        <v/>
      </c>
    </row>
    <row r="9" spans="1:52" x14ac:dyDescent="0.2">
      <c r="C9" s="1">
        <v>7</v>
      </c>
      <c r="D9" s="122" t="s">
        <v>139</v>
      </c>
      <c r="E9" s="16" t="s">
        <v>149</v>
      </c>
      <c r="F9">
        <v>7</v>
      </c>
      <c r="I9" s="99" t="s">
        <v>134</v>
      </c>
      <c r="J9" s="96">
        <v>0.69899999999999995</v>
      </c>
      <c r="K9" s="66">
        <v>0</v>
      </c>
      <c r="L9" s="66">
        <v>0</v>
      </c>
      <c r="M9" s="67">
        <v>10000</v>
      </c>
      <c r="N9" s="67">
        <v>500000</v>
      </c>
      <c r="O9" s="67">
        <v>12</v>
      </c>
      <c r="P9" s="67">
        <v>36</v>
      </c>
      <c r="Q9" s="68" t="s">
        <v>102</v>
      </c>
      <c r="R9" s="69" t="s">
        <v>75</v>
      </c>
      <c r="S9" s="69" t="s">
        <v>119</v>
      </c>
      <c r="T9" s="68" t="s">
        <v>102</v>
      </c>
      <c r="U9" s="73"/>
      <c r="V9" s="68" t="s">
        <v>102</v>
      </c>
      <c r="W9" s="70"/>
      <c r="X9" s="70" t="s">
        <v>0</v>
      </c>
      <c r="Y9" s="70"/>
      <c r="Z9" s="72"/>
      <c r="AA9" s="72"/>
      <c r="AB9" s="72"/>
      <c r="AD9">
        <v>7</v>
      </c>
      <c r="AE9" s="9" t="str">
        <f t="shared" si="2"/>
        <v/>
      </c>
      <c r="AF9" s="9" t="str">
        <f t="shared" si="3"/>
        <v/>
      </c>
      <c r="AG9" s="9" t="str">
        <f t="shared" si="0"/>
        <v/>
      </c>
      <c r="AH9" s="1" t="str">
        <f t="shared" si="4"/>
        <v/>
      </c>
      <c r="AI9" s="1" t="str">
        <f t="shared" si="5"/>
        <v/>
      </c>
      <c r="AJ9" s="1" t="str">
        <f t="shared" si="6"/>
        <v/>
      </c>
      <c r="AK9" s="1" t="str">
        <f t="shared" si="7"/>
        <v/>
      </c>
      <c r="AL9" s="1" t="str">
        <f t="shared" si="8"/>
        <v/>
      </c>
      <c r="AM9" s="1" t="str">
        <f t="shared" si="9"/>
        <v/>
      </c>
      <c r="AN9" s="1" t="str">
        <f t="shared" si="10"/>
        <v/>
      </c>
      <c r="AO9" s="1" t="str">
        <f t="shared" si="11"/>
        <v/>
      </c>
      <c r="AP9" s="1" t="str">
        <f t="shared" si="12"/>
        <v/>
      </c>
      <c r="AQ9" s="1" t="str">
        <f t="shared" si="13"/>
        <v/>
      </c>
      <c r="AR9" s="1" t="str">
        <f t="shared" si="14"/>
        <v/>
      </c>
      <c r="AS9" s="1" t="str">
        <f t="shared" si="15"/>
        <v/>
      </c>
      <c r="AT9" s="1" t="str">
        <f t="shared" si="16"/>
        <v/>
      </c>
      <c r="AU9" s="1" t="str">
        <f t="shared" si="17"/>
        <v/>
      </c>
      <c r="AV9" s="1" t="str">
        <f t="shared" si="18"/>
        <v/>
      </c>
      <c r="AW9" s="1" t="str">
        <f t="shared" si="19"/>
        <v/>
      </c>
      <c r="AX9" s="1" t="str">
        <f t="shared" si="20"/>
        <v/>
      </c>
      <c r="AY9" s="1" t="str">
        <f t="shared" si="21"/>
        <v/>
      </c>
    </row>
    <row r="10" spans="1:52" x14ac:dyDescent="0.2">
      <c r="C10" s="1">
        <v>8</v>
      </c>
      <c r="D10" s="98" t="s">
        <v>135</v>
      </c>
      <c r="E10" s="16" t="s">
        <v>143</v>
      </c>
      <c r="F10">
        <v>8</v>
      </c>
      <c r="I10" s="123" t="s">
        <v>138</v>
      </c>
      <c r="J10" s="96">
        <v>0.629</v>
      </c>
      <c r="K10" s="66">
        <v>0</v>
      </c>
      <c r="L10" s="66">
        <v>0</v>
      </c>
      <c r="M10" s="67">
        <v>10000</v>
      </c>
      <c r="N10" s="67">
        <v>1000000</v>
      </c>
      <c r="O10" s="67">
        <v>12</v>
      </c>
      <c r="P10" s="67">
        <v>60</v>
      </c>
      <c r="Q10" s="68" t="s">
        <v>109</v>
      </c>
      <c r="R10" s="69" t="s">
        <v>75</v>
      </c>
      <c r="S10" s="69" t="s">
        <v>119</v>
      </c>
      <c r="T10" s="68" t="s">
        <v>102</v>
      </c>
      <c r="U10" s="73"/>
      <c r="V10" s="68" t="s">
        <v>112</v>
      </c>
      <c r="W10" s="70"/>
      <c r="X10" s="70" t="s">
        <v>77</v>
      </c>
      <c r="Y10" s="70"/>
      <c r="Z10" s="72"/>
      <c r="AA10" s="72"/>
      <c r="AB10" s="72"/>
      <c r="AD10">
        <v>8</v>
      </c>
      <c r="AE10" s="9" t="str">
        <f t="shared" si="2"/>
        <v/>
      </c>
      <c r="AF10" s="9" t="str">
        <f t="shared" si="3"/>
        <v/>
      </c>
      <c r="AG10" s="9" t="str">
        <f t="shared" si="0"/>
        <v/>
      </c>
      <c r="AH10" s="1" t="str">
        <f t="shared" si="4"/>
        <v/>
      </c>
      <c r="AI10" s="1" t="str">
        <f t="shared" si="5"/>
        <v/>
      </c>
      <c r="AJ10" s="1" t="str">
        <f t="shared" si="6"/>
        <v/>
      </c>
      <c r="AK10" s="1" t="str">
        <f t="shared" si="7"/>
        <v/>
      </c>
      <c r="AL10" s="1" t="str">
        <f t="shared" si="8"/>
        <v/>
      </c>
      <c r="AM10" s="1" t="str">
        <f t="shared" si="9"/>
        <v/>
      </c>
      <c r="AN10" s="1" t="str">
        <f t="shared" si="10"/>
        <v/>
      </c>
      <c r="AO10" s="1" t="str">
        <f t="shared" si="11"/>
        <v/>
      </c>
      <c r="AP10" s="1" t="str">
        <f t="shared" si="12"/>
        <v/>
      </c>
      <c r="AQ10" s="1" t="str">
        <f t="shared" si="13"/>
        <v/>
      </c>
      <c r="AR10" s="1" t="str">
        <f t="shared" si="14"/>
        <v/>
      </c>
      <c r="AS10" s="1" t="str">
        <f t="shared" si="15"/>
        <v/>
      </c>
      <c r="AT10" s="1" t="str">
        <f t="shared" si="16"/>
        <v/>
      </c>
      <c r="AU10" s="1" t="str">
        <f t="shared" si="17"/>
        <v/>
      </c>
      <c r="AV10" s="1" t="str">
        <f t="shared" si="18"/>
        <v/>
      </c>
      <c r="AW10" s="1" t="str">
        <f t="shared" si="19"/>
        <v/>
      </c>
      <c r="AX10" s="1" t="str">
        <f t="shared" si="20"/>
        <v/>
      </c>
      <c r="AY10" s="1" t="str">
        <f t="shared" si="21"/>
        <v/>
      </c>
    </row>
    <row r="11" spans="1:52" x14ac:dyDescent="0.2">
      <c r="C11" s="1">
        <v>9</v>
      </c>
      <c r="D11" s="98" t="s">
        <v>136</v>
      </c>
      <c r="E11" s="16" t="s">
        <v>144</v>
      </c>
      <c r="F11">
        <v>9</v>
      </c>
      <c r="I11" s="99" t="s">
        <v>5</v>
      </c>
      <c r="J11" s="96">
        <v>0.629</v>
      </c>
      <c r="K11" s="66">
        <v>0</v>
      </c>
      <c r="L11" s="66">
        <v>0</v>
      </c>
      <c r="M11" s="67">
        <v>10000</v>
      </c>
      <c r="N11" s="67">
        <v>1000000</v>
      </c>
      <c r="O11" s="67">
        <v>12</v>
      </c>
      <c r="P11" s="67">
        <v>60</v>
      </c>
      <c r="Q11" s="68" t="s">
        <v>109</v>
      </c>
      <c r="R11" s="68" t="s">
        <v>75</v>
      </c>
      <c r="S11" s="68" t="s">
        <v>119</v>
      </c>
      <c r="T11" s="68" t="s">
        <v>102</v>
      </c>
      <c r="U11" s="68" t="s">
        <v>102</v>
      </c>
      <c r="V11" s="68" t="s">
        <v>112</v>
      </c>
      <c r="W11" s="71"/>
      <c r="X11" s="70" t="s">
        <v>0</v>
      </c>
      <c r="Y11" s="70"/>
      <c r="Z11" s="72"/>
      <c r="AA11" s="72"/>
      <c r="AB11" s="72"/>
      <c r="AD11">
        <v>9</v>
      </c>
      <c r="AE11" s="9" t="str">
        <f t="shared" si="2"/>
        <v/>
      </c>
      <c r="AF11" s="9" t="str">
        <f t="shared" si="3"/>
        <v/>
      </c>
      <c r="AG11" s="9" t="str">
        <f>IF(AD11=$H$4,AE11,"")</f>
        <v/>
      </c>
      <c r="AH11" s="1" t="str">
        <f t="shared" si="4"/>
        <v/>
      </c>
      <c r="AI11" s="1" t="str">
        <f t="shared" si="5"/>
        <v/>
      </c>
      <c r="AJ11" s="1" t="str">
        <f t="shared" si="6"/>
        <v/>
      </c>
      <c r="AK11" s="1" t="str">
        <f t="shared" si="7"/>
        <v/>
      </c>
      <c r="AL11" s="1" t="str">
        <f t="shared" si="8"/>
        <v/>
      </c>
      <c r="AM11" s="1" t="str">
        <f t="shared" si="9"/>
        <v/>
      </c>
      <c r="AN11" s="1" t="str">
        <f t="shared" si="10"/>
        <v/>
      </c>
      <c r="AO11" s="1" t="str">
        <f t="shared" si="11"/>
        <v/>
      </c>
      <c r="AP11" s="1" t="str">
        <f t="shared" si="12"/>
        <v/>
      </c>
      <c r="AQ11" s="1" t="str">
        <f t="shared" si="13"/>
        <v/>
      </c>
      <c r="AR11" s="1" t="str">
        <f t="shared" si="14"/>
        <v/>
      </c>
      <c r="AS11" s="1" t="str">
        <f t="shared" si="15"/>
        <v/>
      </c>
      <c r="AT11" s="1" t="str">
        <f t="shared" si="16"/>
        <v/>
      </c>
      <c r="AU11" s="1" t="str">
        <f t="shared" si="17"/>
        <v/>
      </c>
      <c r="AV11" s="1" t="str">
        <f t="shared" si="18"/>
        <v/>
      </c>
      <c r="AW11" s="1" t="str">
        <f t="shared" si="19"/>
        <v/>
      </c>
      <c r="AX11" s="1" t="str">
        <f t="shared" si="20"/>
        <v/>
      </c>
      <c r="AY11" s="1" t="str">
        <f t="shared" si="21"/>
        <v/>
      </c>
    </row>
    <row r="12" spans="1:52" x14ac:dyDescent="0.2">
      <c r="C12" s="1">
        <v>10</v>
      </c>
      <c r="D12" s="122" t="s">
        <v>140</v>
      </c>
      <c r="E12" s="16" t="s">
        <v>148</v>
      </c>
      <c r="F12">
        <v>10</v>
      </c>
      <c r="I12" s="75" t="s">
        <v>6</v>
      </c>
      <c r="J12" s="74">
        <v>1E-3</v>
      </c>
      <c r="K12" s="66">
        <v>0.28999999999999998</v>
      </c>
      <c r="L12" s="66">
        <v>0</v>
      </c>
      <c r="M12" s="67">
        <v>9000</v>
      </c>
      <c r="N12" s="67">
        <v>450000</v>
      </c>
      <c r="O12" s="67">
        <v>12</v>
      </c>
      <c r="P12" s="67">
        <v>12</v>
      </c>
      <c r="Q12" s="68"/>
      <c r="R12" s="68" t="s">
        <v>102</v>
      </c>
      <c r="S12" s="68" t="s">
        <v>102</v>
      </c>
      <c r="T12" s="68" t="s">
        <v>102</v>
      </c>
      <c r="U12" s="68" t="s">
        <v>102</v>
      </c>
      <c r="V12" s="68" t="s">
        <v>102</v>
      </c>
      <c r="W12" s="71" t="s">
        <v>127</v>
      </c>
      <c r="X12" s="70" t="s">
        <v>0</v>
      </c>
      <c r="Y12" s="70"/>
      <c r="Z12" s="72"/>
      <c r="AA12" s="72"/>
      <c r="AB12" s="72"/>
      <c r="AD12">
        <v>10</v>
      </c>
      <c r="AE12" s="9" t="str">
        <f t="shared" si="2"/>
        <v/>
      </c>
      <c r="AF12" s="9" t="str">
        <f t="shared" si="3"/>
        <v/>
      </c>
      <c r="AG12" s="9" t="str">
        <f t="shared" ref="AG12:AG50" si="22">IF(AD12=$H$4,AE12,"")</f>
        <v/>
      </c>
      <c r="AH12" s="1" t="str">
        <f t="shared" si="4"/>
        <v/>
      </c>
      <c r="AI12" s="1" t="str">
        <f t="shared" si="5"/>
        <v/>
      </c>
      <c r="AJ12" s="1" t="str">
        <f t="shared" si="6"/>
        <v/>
      </c>
      <c r="AK12" s="1" t="str">
        <f t="shared" si="7"/>
        <v/>
      </c>
      <c r="AL12" s="1" t="str">
        <f t="shared" si="8"/>
        <v/>
      </c>
      <c r="AM12" s="1" t="str">
        <f t="shared" si="9"/>
        <v/>
      </c>
      <c r="AN12" s="1" t="str">
        <f t="shared" si="10"/>
        <v/>
      </c>
      <c r="AO12" s="1" t="str">
        <f t="shared" si="11"/>
        <v/>
      </c>
      <c r="AP12" s="1" t="str">
        <f t="shared" si="12"/>
        <v/>
      </c>
      <c r="AQ12" s="1" t="str">
        <f t="shared" si="13"/>
        <v/>
      </c>
      <c r="AR12" s="1" t="str">
        <f t="shared" si="14"/>
        <v/>
      </c>
      <c r="AS12" s="1" t="str">
        <f t="shared" si="15"/>
        <v/>
      </c>
      <c r="AT12" s="1" t="str">
        <f t="shared" si="16"/>
        <v/>
      </c>
      <c r="AU12" s="1" t="str">
        <f t="shared" si="17"/>
        <v/>
      </c>
      <c r="AV12" s="1" t="str">
        <f t="shared" si="18"/>
        <v/>
      </c>
      <c r="AW12" s="1" t="str">
        <f t="shared" si="19"/>
        <v/>
      </c>
      <c r="AX12" s="1" t="str">
        <f t="shared" si="20"/>
        <v/>
      </c>
      <c r="AY12" s="1" t="str">
        <f t="shared" si="21"/>
        <v/>
      </c>
    </row>
    <row r="13" spans="1:52" x14ac:dyDescent="0.2">
      <c r="C13" s="1">
        <v>11</v>
      </c>
      <c r="D13" s="122" t="s">
        <v>141</v>
      </c>
      <c r="E13" s="16" t="s">
        <v>145</v>
      </c>
      <c r="F13">
        <v>11</v>
      </c>
      <c r="I13" s="75" t="s">
        <v>6</v>
      </c>
      <c r="J13" s="96">
        <v>1E-3</v>
      </c>
      <c r="K13" s="66">
        <v>0.48</v>
      </c>
      <c r="L13" s="66">
        <v>0</v>
      </c>
      <c r="M13" s="67">
        <v>9000</v>
      </c>
      <c r="N13" s="67">
        <v>700000</v>
      </c>
      <c r="O13" s="67">
        <v>24</v>
      </c>
      <c r="P13" s="67">
        <v>24</v>
      </c>
      <c r="Q13" s="68"/>
      <c r="R13" s="68" t="s">
        <v>102</v>
      </c>
      <c r="S13" s="69" t="s">
        <v>102</v>
      </c>
      <c r="T13" s="68" t="s">
        <v>102</v>
      </c>
      <c r="U13" s="68" t="s">
        <v>102</v>
      </c>
      <c r="V13" s="68"/>
      <c r="W13" s="71" t="s">
        <v>127</v>
      </c>
      <c r="X13" s="71" t="s">
        <v>0</v>
      </c>
      <c r="Y13" s="70"/>
      <c r="Z13" s="72"/>
      <c r="AA13" s="72"/>
      <c r="AB13" s="72"/>
      <c r="AD13">
        <v>11</v>
      </c>
      <c r="AE13" s="9" t="str">
        <f t="shared" si="2"/>
        <v/>
      </c>
      <c r="AF13" s="9" t="str">
        <f t="shared" si="3"/>
        <v/>
      </c>
      <c r="AG13" s="9" t="str">
        <f t="shared" si="22"/>
        <v/>
      </c>
      <c r="AH13" s="1" t="str">
        <f t="shared" si="4"/>
        <v/>
      </c>
      <c r="AI13" s="1" t="str">
        <f t="shared" si="5"/>
        <v/>
      </c>
      <c r="AJ13" s="1" t="str">
        <f t="shared" si="6"/>
        <v/>
      </c>
      <c r="AK13" s="1" t="str">
        <f t="shared" si="7"/>
        <v/>
      </c>
      <c r="AL13" s="1" t="str">
        <f t="shared" si="8"/>
        <v/>
      </c>
      <c r="AM13" s="1" t="str">
        <f t="shared" si="9"/>
        <v/>
      </c>
      <c r="AN13" s="1" t="str">
        <f t="shared" si="10"/>
        <v/>
      </c>
      <c r="AO13" s="1" t="str">
        <f t="shared" si="11"/>
        <v/>
      </c>
      <c r="AP13" s="1" t="str">
        <f t="shared" si="12"/>
        <v/>
      </c>
      <c r="AQ13" s="1" t="str">
        <f t="shared" si="13"/>
        <v/>
      </c>
      <c r="AR13" s="1" t="str">
        <f t="shared" si="14"/>
        <v/>
      </c>
      <c r="AS13" s="1" t="str">
        <f t="shared" si="15"/>
        <v/>
      </c>
      <c r="AT13" s="1" t="str">
        <f t="shared" si="16"/>
        <v/>
      </c>
      <c r="AU13" s="1" t="str">
        <f t="shared" si="17"/>
        <v/>
      </c>
      <c r="AV13" s="1" t="str">
        <f t="shared" si="18"/>
        <v/>
      </c>
      <c r="AW13" s="1" t="str">
        <f t="shared" si="19"/>
        <v/>
      </c>
      <c r="AX13" s="1" t="str">
        <f t="shared" si="20"/>
        <v/>
      </c>
      <c r="AY13" s="1" t="str">
        <f t="shared" si="21"/>
        <v/>
      </c>
    </row>
    <row r="14" spans="1:52" x14ac:dyDescent="0.2">
      <c r="C14" s="1">
        <v>12</v>
      </c>
      <c r="D14" s="98" t="s">
        <v>133</v>
      </c>
      <c r="E14" s="16" t="s">
        <v>146</v>
      </c>
      <c r="F14">
        <v>12</v>
      </c>
      <c r="I14" s="75" t="s">
        <v>128</v>
      </c>
      <c r="J14" s="96">
        <v>0.57899999999999996</v>
      </c>
      <c r="K14" s="66">
        <v>0</v>
      </c>
      <c r="L14" s="66">
        <v>0</v>
      </c>
      <c r="M14" s="67">
        <v>10000</v>
      </c>
      <c r="N14" s="67">
        <v>700000</v>
      </c>
      <c r="O14" s="67">
        <v>12</v>
      </c>
      <c r="P14" s="67">
        <v>60</v>
      </c>
      <c r="Q14" s="68" t="s">
        <v>102</v>
      </c>
      <c r="R14" s="68"/>
      <c r="S14" s="69" t="s">
        <v>119</v>
      </c>
      <c r="T14" s="68"/>
      <c r="U14" s="68"/>
      <c r="V14" s="68"/>
      <c r="W14" s="71"/>
      <c r="X14" s="71" t="s">
        <v>0</v>
      </c>
      <c r="Y14" s="70"/>
      <c r="Z14" s="72"/>
      <c r="AA14" s="72"/>
      <c r="AB14" s="72"/>
      <c r="AD14">
        <v>12</v>
      </c>
      <c r="AE14" s="9" t="str">
        <f t="shared" ref="AE14:AE50" si="23">IF($I14=$G$3,J14,"")</f>
        <v/>
      </c>
      <c r="AF14" s="9" t="str">
        <f t="shared" ref="AF14:AF50" si="24">IF(LEN(AE14)=0,"",CONCATENATE(AE14*100,"%  (від ",M14," до ",N14," грн. на строк ",O14,"-",P14," міс.)"))</f>
        <v/>
      </c>
      <c r="AG14" s="9" t="str">
        <f t="shared" si="22"/>
        <v/>
      </c>
      <c r="AH14" s="1" t="str">
        <f t="shared" ref="AH14:AH50" si="25">IF(LEN($AG14)=0,"",K14)</f>
        <v/>
      </c>
      <c r="AI14" s="1" t="str">
        <f t="shared" ref="AI14:AI50" si="26">IF(LEN($AG14)=0,"",L14)</f>
        <v/>
      </c>
      <c r="AJ14" s="1" t="str">
        <f t="shared" ref="AJ14:AJ50" si="27">IF(LEN($AG14)=0,"",M14)</f>
        <v/>
      </c>
      <c r="AK14" s="1" t="str">
        <f t="shared" ref="AK14:AK50" si="28">IF(LEN($AG14)=0,"",N14)</f>
        <v/>
      </c>
      <c r="AL14" s="1" t="str">
        <f t="shared" ref="AL14:AL50" si="29">IF(LEN($AG14)=0,"",O14)</f>
        <v/>
      </c>
      <c r="AM14" s="1" t="str">
        <f t="shared" ref="AM14:AM50" si="30">IF(LEN($AG14)=0,"",P14)</f>
        <v/>
      </c>
      <c r="AN14" s="1" t="str">
        <f t="shared" ref="AN14:AN50" si="31">IF(LEN($AG14)=0,"",Q14)</f>
        <v/>
      </c>
      <c r="AO14" s="1" t="str">
        <f t="shared" ref="AO14:AO50" si="32">IF(LEN($AG14)=0,"",R14)</f>
        <v/>
      </c>
      <c r="AP14" s="1" t="str">
        <f t="shared" ref="AP14:AP50" si="33">IF(LEN($AG14)=0,"",S14)</f>
        <v/>
      </c>
      <c r="AQ14" s="1" t="str">
        <f t="shared" ref="AQ14:AQ50" si="34">IF(LEN($AG14)=0,"",T14)</f>
        <v/>
      </c>
      <c r="AR14" s="1" t="str">
        <f t="shared" ref="AR14:AR50" si="35">IF(LEN($AG14)=0,"",U14)</f>
        <v/>
      </c>
      <c r="AS14" s="1" t="str">
        <f t="shared" ref="AS14:AS50" si="36">IF(LEN($AG14)=0,"",V14)</f>
        <v/>
      </c>
      <c r="AT14" s="1" t="str">
        <f t="shared" ref="AT14:AT50" si="37">IF(LEN($AG14)=0,"",W14)</f>
        <v/>
      </c>
      <c r="AU14" s="1" t="str">
        <f t="shared" ref="AU14:AU50" si="38">IF(LEN($AG14)=0,"",X14)</f>
        <v/>
      </c>
      <c r="AV14" s="1" t="str">
        <f t="shared" ref="AV14:AV50" si="39">IF(LEN($AG14)=0,"",Y14)</f>
        <v/>
      </c>
      <c r="AW14" s="1" t="str">
        <f t="shared" ref="AW14:AW50" si="40">IF(LEN($AG14)=0,"",Z14)</f>
        <v/>
      </c>
      <c r="AX14" s="1" t="str">
        <f t="shared" ref="AX14:AX50" si="41">IF(LEN($AG14)=0,"",AA14)</f>
        <v/>
      </c>
      <c r="AY14" s="1" t="str">
        <f t="shared" ref="AY14:AY50" si="42">IF(LEN($AG14)=0,"",AB14)</f>
        <v/>
      </c>
    </row>
    <row r="15" spans="1:52" x14ac:dyDescent="0.2">
      <c r="C15" s="1">
        <v>13</v>
      </c>
      <c r="D15" s="122" t="s">
        <v>142</v>
      </c>
      <c r="E15" s="16" t="s">
        <v>150</v>
      </c>
      <c r="F15">
        <v>13</v>
      </c>
      <c r="I15" s="99" t="s">
        <v>135</v>
      </c>
      <c r="J15" s="96">
        <v>0.63900000000000001</v>
      </c>
      <c r="K15" s="66">
        <v>0</v>
      </c>
      <c r="L15" s="66">
        <v>0</v>
      </c>
      <c r="M15" s="67">
        <v>10000</v>
      </c>
      <c r="N15" s="67">
        <v>500000</v>
      </c>
      <c r="O15" s="67">
        <v>12</v>
      </c>
      <c r="P15" s="67">
        <v>36</v>
      </c>
      <c r="Q15" s="68"/>
      <c r="R15" s="69" t="s">
        <v>95</v>
      </c>
      <c r="S15" s="69" t="s">
        <v>119</v>
      </c>
      <c r="T15" s="68"/>
      <c r="U15" s="73"/>
      <c r="V15" s="68"/>
      <c r="W15" s="71" t="s">
        <v>96</v>
      </c>
      <c r="X15" s="70" t="s">
        <v>0</v>
      </c>
      <c r="Y15" s="70"/>
      <c r="Z15" s="72"/>
      <c r="AA15" s="72"/>
      <c r="AB15" s="72"/>
      <c r="AD15">
        <v>13</v>
      </c>
      <c r="AE15" s="9" t="str">
        <f t="shared" si="23"/>
        <v/>
      </c>
      <c r="AF15" s="9" t="str">
        <f t="shared" si="24"/>
        <v/>
      </c>
      <c r="AG15" s="9" t="str">
        <f t="shared" si="22"/>
        <v/>
      </c>
      <c r="AH15" s="1" t="str">
        <f t="shared" si="25"/>
        <v/>
      </c>
      <c r="AI15" s="1" t="str">
        <f t="shared" si="26"/>
        <v/>
      </c>
      <c r="AJ15" s="1" t="str">
        <f t="shared" si="27"/>
        <v/>
      </c>
      <c r="AK15" s="1" t="str">
        <f t="shared" si="28"/>
        <v/>
      </c>
      <c r="AL15" s="1" t="str">
        <f t="shared" si="29"/>
        <v/>
      </c>
      <c r="AM15" s="1" t="str">
        <f t="shared" si="30"/>
        <v/>
      </c>
      <c r="AN15" s="1" t="str">
        <f t="shared" si="31"/>
        <v/>
      </c>
      <c r="AO15" s="1" t="str">
        <f t="shared" si="32"/>
        <v/>
      </c>
      <c r="AP15" s="1" t="str">
        <f t="shared" si="33"/>
        <v/>
      </c>
      <c r="AQ15" s="1" t="str">
        <f t="shared" si="34"/>
        <v/>
      </c>
      <c r="AR15" s="1" t="str">
        <f t="shared" si="35"/>
        <v/>
      </c>
      <c r="AS15" s="1" t="str">
        <f t="shared" si="36"/>
        <v/>
      </c>
      <c r="AT15" s="1" t="str">
        <f t="shared" si="37"/>
        <v/>
      </c>
      <c r="AU15" s="1" t="str">
        <f t="shared" si="38"/>
        <v/>
      </c>
      <c r="AV15" s="1" t="str">
        <f t="shared" si="39"/>
        <v/>
      </c>
      <c r="AW15" s="1" t="str">
        <f t="shared" si="40"/>
        <v/>
      </c>
      <c r="AX15" s="1" t="str">
        <f t="shared" si="41"/>
        <v/>
      </c>
      <c r="AY15" s="1" t="str">
        <f t="shared" si="42"/>
        <v/>
      </c>
    </row>
    <row r="16" spans="1:52" x14ac:dyDescent="0.2">
      <c r="C16" s="1">
        <v>14</v>
      </c>
      <c r="D16" s="98" t="s">
        <v>131</v>
      </c>
      <c r="E16" s="16" t="s">
        <v>147</v>
      </c>
      <c r="F16">
        <v>14</v>
      </c>
      <c r="I16" s="123" t="s">
        <v>139</v>
      </c>
      <c r="J16" s="96">
        <v>0.63900000000000001</v>
      </c>
      <c r="K16" s="66">
        <v>0</v>
      </c>
      <c r="L16" s="66">
        <v>0</v>
      </c>
      <c r="M16" s="67">
        <v>10000</v>
      </c>
      <c r="N16" s="67">
        <v>500000</v>
      </c>
      <c r="O16" s="67">
        <v>12</v>
      </c>
      <c r="P16" s="67">
        <v>36</v>
      </c>
      <c r="Q16" s="68" t="s">
        <v>102</v>
      </c>
      <c r="R16" s="69" t="s">
        <v>95</v>
      </c>
      <c r="S16" s="69" t="s">
        <v>119</v>
      </c>
      <c r="T16" s="68" t="s">
        <v>102</v>
      </c>
      <c r="U16" s="73"/>
      <c r="V16" s="68" t="s">
        <v>102</v>
      </c>
      <c r="W16" s="71" t="s">
        <v>96</v>
      </c>
      <c r="X16" s="70" t="s">
        <v>97</v>
      </c>
      <c r="Y16" s="70"/>
      <c r="Z16" s="72"/>
      <c r="AA16" s="72"/>
      <c r="AB16" s="72"/>
      <c r="AD16">
        <v>14</v>
      </c>
      <c r="AE16" s="9" t="str">
        <f t="shared" si="23"/>
        <v/>
      </c>
      <c r="AF16" s="9" t="str">
        <f t="shared" si="24"/>
        <v/>
      </c>
      <c r="AG16" s="9" t="str">
        <f t="shared" si="22"/>
        <v/>
      </c>
      <c r="AH16" s="1" t="str">
        <f t="shared" si="25"/>
        <v/>
      </c>
      <c r="AI16" s="1" t="str">
        <f t="shared" si="26"/>
        <v/>
      </c>
      <c r="AJ16" s="1" t="str">
        <f t="shared" si="27"/>
        <v/>
      </c>
      <c r="AK16" s="1" t="str">
        <f t="shared" si="28"/>
        <v/>
      </c>
      <c r="AL16" s="1" t="str">
        <f t="shared" si="29"/>
        <v/>
      </c>
      <c r="AM16" s="1" t="str">
        <f t="shared" si="30"/>
        <v/>
      </c>
      <c r="AN16" s="1" t="str">
        <f t="shared" si="31"/>
        <v/>
      </c>
      <c r="AO16" s="1" t="str">
        <f t="shared" si="32"/>
        <v/>
      </c>
      <c r="AP16" s="1" t="str">
        <f t="shared" si="33"/>
        <v/>
      </c>
      <c r="AQ16" s="1" t="str">
        <f t="shared" si="34"/>
        <v/>
      </c>
      <c r="AR16" s="1" t="str">
        <f t="shared" si="35"/>
        <v/>
      </c>
      <c r="AS16" s="1" t="str">
        <f t="shared" si="36"/>
        <v/>
      </c>
      <c r="AT16" s="1" t="str">
        <f t="shared" si="37"/>
        <v/>
      </c>
      <c r="AU16" s="1" t="str">
        <f t="shared" si="38"/>
        <v/>
      </c>
      <c r="AV16" s="1" t="str">
        <f t="shared" si="39"/>
        <v/>
      </c>
      <c r="AW16" s="1" t="str">
        <f t="shared" si="40"/>
        <v/>
      </c>
      <c r="AX16" s="1" t="str">
        <f t="shared" si="41"/>
        <v/>
      </c>
      <c r="AY16" s="1" t="str">
        <f t="shared" si="42"/>
        <v/>
      </c>
    </row>
    <row r="17" spans="3:51" x14ac:dyDescent="0.2">
      <c r="C17" s="1">
        <v>15</v>
      </c>
      <c r="D17" s="1"/>
      <c r="E17" s="1"/>
      <c r="F17">
        <v>15</v>
      </c>
      <c r="I17" s="99" t="s">
        <v>135</v>
      </c>
      <c r="J17" s="96">
        <v>0.57899999999999996</v>
      </c>
      <c r="K17" s="66">
        <v>0</v>
      </c>
      <c r="L17" s="66">
        <v>0</v>
      </c>
      <c r="M17" s="67">
        <v>10000</v>
      </c>
      <c r="N17" s="67">
        <v>1000000</v>
      </c>
      <c r="O17" s="67">
        <v>12</v>
      </c>
      <c r="P17" s="67">
        <v>60</v>
      </c>
      <c r="Q17" s="68" t="s">
        <v>109</v>
      </c>
      <c r="R17" s="69" t="s">
        <v>95</v>
      </c>
      <c r="S17" s="69" t="s">
        <v>119</v>
      </c>
      <c r="T17" s="68"/>
      <c r="U17" s="73"/>
      <c r="V17" s="68" t="s">
        <v>112</v>
      </c>
      <c r="W17" s="70" t="s">
        <v>96</v>
      </c>
      <c r="X17" s="70" t="s">
        <v>0</v>
      </c>
      <c r="Y17" s="70"/>
      <c r="Z17" s="72"/>
      <c r="AA17" s="72"/>
      <c r="AB17" s="72"/>
      <c r="AD17">
        <v>15</v>
      </c>
      <c r="AE17" s="9" t="str">
        <f t="shared" si="23"/>
        <v/>
      </c>
      <c r="AF17" s="9" t="str">
        <f t="shared" si="24"/>
        <v/>
      </c>
      <c r="AG17" s="9" t="str">
        <f t="shared" si="22"/>
        <v/>
      </c>
      <c r="AH17" s="1" t="str">
        <f t="shared" si="25"/>
        <v/>
      </c>
      <c r="AI17" s="1" t="str">
        <f t="shared" si="26"/>
        <v/>
      </c>
      <c r="AJ17" s="1" t="str">
        <f t="shared" si="27"/>
        <v/>
      </c>
      <c r="AK17" s="1" t="str">
        <f t="shared" si="28"/>
        <v/>
      </c>
      <c r="AL17" s="1" t="str">
        <f t="shared" si="29"/>
        <v/>
      </c>
      <c r="AM17" s="1" t="str">
        <f t="shared" si="30"/>
        <v/>
      </c>
      <c r="AN17" s="1" t="str">
        <f t="shared" si="31"/>
        <v/>
      </c>
      <c r="AO17" s="1" t="str">
        <f t="shared" si="32"/>
        <v/>
      </c>
      <c r="AP17" s="1" t="str">
        <f t="shared" si="33"/>
        <v/>
      </c>
      <c r="AQ17" s="1" t="str">
        <f t="shared" si="34"/>
        <v/>
      </c>
      <c r="AR17" s="1" t="str">
        <f t="shared" si="35"/>
        <v/>
      </c>
      <c r="AS17" s="1" t="str">
        <f t="shared" si="36"/>
        <v/>
      </c>
      <c r="AT17" s="1" t="str">
        <f t="shared" si="37"/>
        <v/>
      </c>
      <c r="AU17" s="1" t="str">
        <f t="shared" si="38"/>
        <v/>
      </c>
      <c r="AV17" s="1" t="str">
        <f t="shared" si="39"/>
        <v/>
      </c>
      <c r="AW17" s="1" t="str">
        <f t="shared" si="40"/>
        <v/>
      </c>
      <c r="AX17" s="1" t="str">
        <f t="shared" si="41"/>
        <v/>
      </c>
      <c r="AY17" s="1" t="str">
        <f t="shared" si="42"/>
        <v/>
      </c>
    </row>
    <row r="18" spans="3:51" x14ac:dyDescent="0.2">
      <c r="C18" s="1">
        <v>16</v>
      </c>
      <c r="D18" s="1"/>
      <c r="E18" s="1"/>
      <c r="F18">
        <v>16</v>
      </c>
      <c r="I18" s="123" t="s">
        <v>139</v>
      </c>
      <c r="J18" s="96">
        <v>0.57899999999999996</v>
      </c>
      <c r="K18" s="66">
        <v>0</v>
      </c>
      <c r="L18" s="66">
        <v>0</v>
      </c>
      <c r="M18" s="67">
        <v>10000</v>
      </c>
      <c r="N18" s="67">
        <v>1000000</v>
      </c>
      <c r="O18" s="67">
        <v>12</v>
      </c>
      <c r="P18" s="67">
        <v>60</v>
      </c>
      <c r="Q18" s="68" t="s">
        <v>109</v>
      </c>
      <c r="R18" s="68" t="s">
        <v>95</v>
      </c>
      <c r="S18" s="69" t="s">
        <v>119</v>
      </c>
      <c r="T18" s="68" t="s">
        <v>102</v>
      </c>
      <c r="U18" s="73"/>
      <c r="V18" s="68" t="s">
        <v>112</v>
      </c>
      <c r="W18" s="70" t="s">
        <v>96</v>
      </c>
      <c r="X18" s="71" t="s">
        <v>97</v>
      </c>
      <c r="Y18" s="70"/>
      <c r="Z18" s="72"/>
      <c r="AA18" s="72"/>
      <c r="AB18" s="72"/>
      <c r="AD18">
        <v>16</v>
      </c>
      <c r="AE18" s="9" t="str">
        <f t="shared" si="23"/>
        <v/>
      </c>
      <c r="AF18" s="9" t="str">
        <f t="shared" si="24"/>
        <v/>
      </c>
      <c r="AG18" s="9" t="str">
        <f t="shared" si="22"/>
        <v/>
      </c>
      <c r="AH18" s="1" t="str">
        <f t="shared" si="25"/>
        <v/>
      </c>
      <c r="AI18" s="1" t="str">
        <f t="shared" si="26"/>
        <v/>
      </c>
      <c r="AJ18" s="1" t="str">
        <f t="shared" si="27"/>
        <v/>
      </c>
      <c r="AK18" s="1" t="str">
        <f t="shared" si="28"/>
        <v/>
      </c>
      <c r="AL18" s="1" t="str">
        <f t="shared" si="29"/>
        <v/>
      </c>
      <c r="AM18" s="1" t="str">
        <f t="shared" si="30"/>
        <v/>
      </c>
      <c r="AN18" s="1" t="str">
        <f t="shared" si="31"/>
        <v/>
      </c>
      <c r="AO18" s="1" t="str">
        <f t="shared" si="32"/>
        <v/>
      </c>
      <c r="AP18" s="1" t="str">
        <f t="shared" si="33"/>
        <v/>
      </c>
      <c r="AQ18" s="1" t="str">
        <f t="shared" si="34"/>
        <v/>
      </c>
      <c r="AR18" s="1" t="str">
        <f t="shared" si="35"/>
        <v/>
      </c>
      <c r="AS18" s="1" t="str">
        <f t="shared" si="36"/>
        <v/>
      </c>
      <c r="AT18" s="1" t="str">
        <f t="shared" si="37"/>
        <v/>
      </c>
      <c r="AU18" s="1" t="str">
        <f>IF(LEN($AG18)=0,"",X18)</f>
        <v/>
      </c>
      <c r="AV18" s="1" t="str">
        <f t="shared" si="39"/>
        <v/>
      </c>
      <c r="AW18" s="1" t="str">
        <f t="shared" si="40"/>
        <v/>
      </c>
      <c r="AX18" s="1" t="str">
        <f t="shared" si="41"/>
        <v/>
      </c>
      <c r="AY18" s="1" t="str">
        <f t="shared" si="42"/>
        <v/>
      </c>
    </row>
    <row r="19" spans="3:51" x14ac:dyDescent="0.2">
      <c r="C19" s="1">
        <v>17</v>
      </c>
      <c r="D19" s="1"/>
      <c r="E19" s="1"/>
      <c r="F19">
        <v>17</v>
      </c>
      <c r="I19" s="123" t="s">
        <v>140</v>
      </c>
      <c r="J19" s="96">
        <v>0.63900000000000001</v>
      </c>
      <c r="K19" s="66">
        <v>0</v>
      </c>
      <c r="L19" s="66">
        <v>0</v>
      </c>
      <c r="M19" s="67">
        <v>10000</v>
      </c>
      <c r="N19" s="67">
        <v>500000</v>
      </c>
      <c r="O19" s="67">
        <v>12</v>
      </c>
      <c r="P19" s="67">
        <v>36</v>
      </c>
      <c r="Q19" s="68"/>
      <c r="R19" s="68" t="s">
        <v>102</v>
      </c>
      <c r="S19" s="69" t="s">
        <v>119</v>
      </c>
      <c r="T19" s="68" t="s">
        <v>102</v>
      </c>
      <c r="U19" s="73"/>
      <c r="V19" s="68" t="s">
        <v>102</v>
      </c>
      <c r="W19" s="70" t="s">
        <v>100</v>
      </c>
      <c r="X19" s="70" t="s">
        <v>97</v>
      </c>
      <c r="Y19" s="70"/>
      <c r="Z19" s="72"/>
      <c r="AA19" s="72"/>
      <c r="AB19" s="72"/>
      <c r="AD19">
        <v>17</v>
      </c>
      <c r="AE19" s="9" t="str">
        <f t="shared" si="23"/>
        <v/>
      </c>
      <c r="AF19" s="9" t="str">
        <f t="shared" si="24"/>
        <v/>
      </c>
      <c r="AG19" s="9" t="str">
        <f t="shared" si="22"/>
        <v/>
      </c>
      <c r="AH19" s="1" t="str">
        <f t="shared" si="25"/>
        <v/>
      </c>
      <c r="AI19" s="1" t="str">
        <f t="shared" si="26"/>
        <v/>
      </c>
      <c r="AJ19" s="1" t="str">
        <f t="shared" si="27"/>
        <v/>
      </c>
      <c r="AK19" s="1" t="str">
        <f t="shared" si="28"/>
        <v/>
      </c>
      <c r="AL19" s="1" t="str">
        <f t="shared" si="29"/>
        <v/>
      </c>
      <c r="AM19" s="1" t="str">
        <f t="shared" si="30"/>
        <v/>
      </c>
      <c r="AN19" s="1" t="str">
        <f t="shared" si="31"/>
        <v/>
      </c>
      <c r="AO19" s="1" t="str">
        <f t="shared" si="32"/>
        <v/>
      </c>
      <c r="AP19" s="1" t="str">
        <f t="shared" si="33"/>
        <v/>
      </c>
      <c r="AQ19" s="1" t="str">
        <f t="shared" si="34"/>
        <v/>
      </c>
      <c r="AR19" s="1" t="str">
        <f t="shared" si="35"/>
        <v/>
      </c>
      <c r="AS19" s="1" t="str">
        <f t="shared" si="36"/>
        <v/>
      </c>
      <c r="AT19" s="1" t="str">
        <f t="shared" si="37"/>
        <v/>
      </c>
      <c r="AU19" s="1" t="str">
        <f t="shared" si="38"/>
        <v/>
      </c>
      <c r="AV19" s="1" t="str">
        <f t="shared" si="39"/>
        <v/>
      </c>
      <c r="AW19" s="1" t="str">
        <f t="shared" si="40"/>
        <v/>
      </c>
      <c r="AX19" s="1" t="str">
        <f t="shared" si="41"/>
        <v/>
      </c>
      <c r="AY19" s="1" t="str">
        <f t="shared" si="42"/>
        <v/>
      </c>
    </row>
    <row r="20" spans="3:51" x14ac:dyDescent="0.2">
      <c r="C20" s="1">
        <v>18</v>
      </c>
      <c r="D20" s="1"/>
      <c r="E20" s="1"/>
      <c r="F20">
        <v>18</v>
      </c>
      <c r="I20" s="99" t="s">
        <v>136</v>
      </c>
      <c r="J20" s="96">
        <v>0.63900000000000001</v>
      </c>
      <c r="K20" s="66">
        <v>0</v>
      </c>
      <c r="L20" s="66">
        <v>0</v>
      </c>
      <c r="M20" s="67">
        <v>10000</v>
      </c>
      <c r="N20" s="67">
        <v>500000</v>
      </c>
      <c r="O20" s="67">
        <v>12</v>
      </c>
      <c r="P20" s="67">
        <v>36</v>
      </c>
      <c r="Q20" s="68"/>
      <c r="R20" s="68" t="s">
        <v>102</v>
      </c>
      <c r="S20" s="69" t="s">
        <v>119</v>
      </c>
      <c r="T20" s="68" t="s">
        <v>102</v>
      </c>
      <c r="U20" s="73"/>
      <c r="V20" s="68"/>
      <c r="W20" s="70" t="s">
        <v>100</v>
      </c>
      <c r="X20" s="70" t="s">
        <v>0</v>
      </c>
      <c r="Y20" s="70"/>
      <c r="Z20" s="72"/>
      <c r="AA20" s="72"/>
      <c r="AB20" s="72"/>
      <c r="AD20">
        <v>18</v>
      </c>
      <c r="AE20" s="9" t="str">
        <f t="shared" si="23"/>
        <v/>
      </c>
      <c r="AF20" s="9" t="str">
        <f t="shared" si="24"/>
        <v/>
      </c>
      <c r="AG20" s="9" t="str">
        <f>IF(AD20=$H$4,AE20,"")</f>
        <v/>
      </c>
      <c r="AH20" s="1" t="str">
        <f t="shared" si="25"/>
        <v/>
      </c>
      <c r="AI20" s="1" t="str">
        <f t="shared" si="26"/>
        <v/>
      </c>
      <c r="AJ20" s="1" t="str">
        <f t="shared" si="27"/>
        <v/>
      </c>
      <c r="AK20" s="1" t="str">
        <f t="shared" si="28"/>
        <v/>
      </c>
      <c r="AL20" s="1" t="str">
        <f t="shared" si="29"/>
        <v/>
      </c>
      <c r="AM20" s="1" t="str">
        <f t="shared" si="30"/>
        <v/>
      </c>
      <c r="AN20" s="1" t="str">
        <f t="shared" si="31"/>
        <v/>
      </c>
      <c r="AO20" s="1" t="str">
        <f t="shared" si="32"/>
        <v/>
      </c>
      <c r="AP20" s="1" t="str">
        <f t="shared" si="33"/>
        <v/>
      </c>
      <c r="AQ20" s="1" t="str">
        <f t="shared" si="34"/>
        <v/>
      </c>
      <c r="AR20" s="1" t="str">
        <f t="shared" si="35"/>
        <v/>
      </c>
      <c r="AS20" s="1" t="str">
        <f t="shared" si="36"/>
        <v/>
      </c>
      <c r="AT20" s="1" t="str">
        <f t="shared" si="37"/>
        <v/>
      </c>
      <c r="AU20" s="1" t="str">
        <f t="shared" si="38"/>
        <v/>
      </c>
      <c r="AV20" s="1" t="str">
        <f t="shared" si="39"/>
        <v/>
      </c>
      <c r="AW20" s="1" t="str">
        <f t="shared" si="40"/>
        <v/>
      </c>
      <c r="AX20" s="1" t="str">
        <f t="shared" si="41"/>
        <v/>
      </c>
      <c r="AY20" s="1" t="str">
        <f t="shared" si="42"/>
        <v/>
      </c>
    </row>
    <row r="21" spans="3:51" x14ac:dyDescent="0.2">
      <c r="C21" s="1">
        <v>19</v>
      </c>
      <c r="D21" s="1"/>
      <c r="E21" s="1"/>
      <c r="F21">
        <v>19</v>
      </c>
      <c r="I21" s="99" t="s">
        <v>94</v>
      </c>
      <c r="J21" s="96">
        <v>0.57899999999999996</v>
      </c>
      <c r="K21" s="66">
        <v>0</v>
      </c>
      <c r="L21" s="66">
        <v>0</v>
      </c>
      <c r="M21" s="67">
        <v>10000</v>
      </c>
      <c r="N21" s="67">
        <v>1000000</v>
      </c>
      <c r="O21" s="67">
        <v>12</v>
      </c>
      <c r="P21" s="67">
        <v>60</v>
      </c>
      <c r="Q21" s="68" t="s">
        <v>109</v>
      </c>
      <c r="R21" s="68" t="s">
        <v>102</v>
      </c>
      <c r="S21" s="69" t="s">
        <v>119</v>
      </c>
      <c r="T21" s="68" t="s">
        <v>102</v>
      </c>
      <c r="U21" s="73"/>
      <c r="V21" s="68" t="s">
        <v>112</v>
      </c>
      <c r="W21" s="70" t="s">
        <v>100</v>
      </c>
      <c r="X21" s="70" t="s">
        <v>0</v>
      </c>
      <c r="Y21" s="70"/>
      <c r="Z21" s="72"/>
      <c r="AA21" s="72"/>
      <c r="AB21" s="72"/>
      <c r="AD21">
        <v>19</v>
      </c>
      <c r="AE21" s="9" t="str">
        <f t="shared" si="23"/>
        <v/>
      </c>
      <c r="AF21" s="9" t="str">
        <f t="shared" si="24"/>
        <v/>
      </c>
      <c r="AG21" s="9" t="str">
        <f t="shared" si="22"/>
        <v/>
      </c>
      <c r="AH21" s="1" t="str">
        <f t="shared" si="25"/>
        <v/>
      </c>
      <c r="AI21" s="1" t="str">
        <f t="shared" si="26"/>
        <v/>
      </c>
      <c r="AJ21" s="1" t="str">
        <f t="shared" si="27"/>
        <v/>
      </c>
      <c r="AK21" s="1" t="str">
        <f t="shared" si="28"/>
        <v/>
      </c>
      <c r="AL21" s="1" t="str">
        <f t="shared" si="29"/>
        <v/>
      </c>
      <c r="AM21" s="1" t="str">
        <f t="shared" si="30"/>
        <v/>
      </c>
      <c r="AN21" s="1" t="str">
        <f t="shared" si="31"/>
        <v/>
      </c>
      <c r="AO21" s="1" t="str">
        <f t="shared" si="32"/>
        <v/>
      </c>
      <c r="AP21" s="1" t="str">
        <f t="shared" si="33"/>
        <v/>
      </c>
      <c r="AQ21" s="1" t="str">
        <f t="shared" si="34"/>
        <v/>
      </c>
      <c r="AR21" s="1" t="str">
        <f t="shared" si="35"/>
        <v/>
      </c>
      <c r="AS21" s="1" t="str">
        <f t="shared" si="36"/>
        <v/>
      </c>
      <c r="AT21" s="1" t="str">
        <f t="shared" si="37"/>
        <v/>
      </c>
      <c r="AU21" s="1" t="str">
        <f t="shared" si="38"/>
        <v/>
      </c>
      <c r="AV21" s="1" t="str">
        <f t="shared" si="39"/>
        <v/>
      </c>
      <c r="AW21" s="1" t="str">
        <f t="shared" si="40"/>
        <v/>
      </c>
      <c r="AX21" s="1" t="str">
        <f t="shared" si="41"/>
        <v/>
      </c>
      <c r="AY21" s="1" t="str">
        <f t="shared" si="42"/>
        <v/>
      </c>
    </row>
    <row r="22" spans="3:51" x14ac:dyDescent="0.2">
      <c r="D22" s="1"/>
      <c r="E22" s="1"/>
      <c r="F22">
        <v>20</v>
      </c>
      <c r="I22" s="123" t="s">
        <v>140</v>
      </c>
      <c r="J22" s="96">
        <v>0.57899999999999996</v>
      </c>
      <c r="K22" s="66">
        <v>0</v>
      </c>
      <c r="L22" s="66">
        <v>0</v>
      </c>
      <c r="M22" s="67">
        <v>10000</v>
      </c>
      <c r="N22" s="67">
        <v>1000000</v>
      </c>
      <c r="O22" s="67">
        <v>12</v>
      </c>
      <c r="P22" s="67">
        <v>60</v>
      </c>
      <c r="Q22" s="68" t="s">
        <v>109</v>
      </c>
      <c r="R22" s="68" t="s">
        <v>102</v>
      </c>
      <c r="S22" s="69" t="s">
        <v>119</v>
      </c>
      <c r="T22" s="68" t="s">
        <v>102</v>
      </c>
      <c r="U22" s="73"/>
      <c r="V22" s="68" t="s">
        <v>112</v>
      </c>
      <c r="W22" s="70" t="s">
        <v>100</v>
      </c>
      <c r="X22" s="70" t="s">
        <v>97</v>
      </c>
      <c r="Y22" s="70"/>
      <c r="Z22" s="72"/>
      <c r="AA22" s="72"/>
      <c r="AB22" s="72"/>
      <c r="AD22">
        <v>20</v>
      </c>
      <c r="AE22" s="9" t="str">
        <f t="shared" si="23"/>
        <v/>
      </c>
      <c r="AF22" s="9" t="str">
        <f t="shared" si="24"/>
        <v/>
      </c>
      <c r="AG22" s="9" t="str">
        <f t="shared" si="22"/>
        <v/>
      </c>
      <c r="AH22" s="1" t="str">
        <f t="shared" si="25"/>
        <v/>
      </c>
      <c r="AI22" s="1" t="str">
        <f t="shared" si="26"/>
        <v/>
      </c>
      <c r="AJ22" s="1" t="str">
        <f t="shared" si="27"/>
        <v/>
      </c>
      <c r="AK22" s="1" t="str">
        <f t="shared" si="28"/>
        <v/>
      </c>
      <c r="AL22" s="1" t="str">
        <f t="shared" si="29"/>
        <v/>
      </c>
      <c r="AM22" s="1" t="str">
        <f t="shared" si="30"/>
        <v/>
      </c>
      <c r="AN22" s="1" t="str">
        <f t="shared" si="31"/>
        <v/>
      </c>
      <c r="AO22" s="1" t="str">
        <f t="shared" si="32"/>
        <v/>
      </c>
      <c r="AP22" s="1" t="str">
        <f t="shared" si="33"/>
        <v/>
      </c>
      <c r="AQ22" s="1" t="str">
        <f t="shared" si="34"/>
        <v/>
      </c>
      <c r="AR22" s="1" t="str">
        <f t="shared" si="35"/>
        <v/>
      </c>
      <c r="AS22" s="1" t="str">
        <f t="shared" si="36"/>
        <v/>
      </c>
      <c r="AT22" s="1" t="str">
        <f t="shared" si="37"/>
        <v/>
      </c>
      <c r="AU22" s="1" t="str">
        <f t="shared" si="38"/>
        <v/>
      </c>
      <c r="AV22" s="1" t="str">
        <f t="shared" si="39"/>
        <v/>
      </c>
      <c r="AW22" s="1" t="str">
        <f t="shared" si="40"/>
        <v/>
      </c>
      <c r="AX22" s="1" t="str">
        <f t="shared" si="41"/>
        <v/>
      </c>
      <c r="AY22" s="1" t="str">
        <f t="shared" si="42"/>
        <v/>
      </c>
    </row>
    <row r="23" spans="3:51" x14ac:dyDescent="0.2">
      <c r="F23">
        <v>21</v>
      </c>
      <c r="I23" s="123" t="s">
        <v>141</v>
      </c>
      <c r="J23" s="96">
        <v>0.57899999999999996</v>
      </c>
      <c r="K23" s="66">
        <v>0</v>
      </c>
      <c r="L23" s="66">
        <v>0</v>
      </c>
      <c r="M23" s="67">
        <v>10000</v>
      </c>
      <c r="N23" s="67">
        <v>300000</v>
      </c>
      <c r="O23" s="67">
        <v>12</v>
      </c>
      <c r="P23" s="67">
        <v>36</v>
      </c>
      <c r="Q23" s="68" t="s">
        <v>2</v>
      </c>
      <c r="R23" s="68" t="s">
        <v>102</v>
      </c>
      <c r="S23" s="69" t="s">
        <v>119</v>
      </c>
      <c r="T23" s="68" t="s">
        <v>102</v>
      </c>
      <c r="U23" s="73"/>
      <c r="V23" s="68" t="s">
        <v>102</v>
      </c>
      <c r="W23" s="70"/>
      <c r="X23" s="70" t="s">
        <v>101</v>
      </c>
      <c r="Y23" s="70"/>
      <c r="Z23" s="72"/>
      <c r="AA23" s="72"/>
      <c r="AB23" s="72"/>
      <c r="AD23">
        <v>21</v>
      </c>
      <c r="AE23" s="9" t="str">
        <f t="shared" si="23"/>
        <v/>
      </c>
      <c r="AF23" s="9" t="str">
        <f t="shared" si="24"/>
        <v/>
      </c>
      <c r="AG23" s="9" t="str">
        <f t="shared" si="22"/>
        <v/>
      </c>
      <c r="AH23" s="1" t="str">
        <f t="shared" si="25"/>
        <v/>
      </c>
      <c r="AI23" s="1" t="str">
        <f t="shared" si="26"/>
        <v/>
      </c>
      <c r="AJ23" s="1" t="str">
        <f t="shared" si="27"/>
        <v/>
      </c>
      <c r="AK23" s="1" t="str">
        <f t="shared" si="28"/>
        <v/>
      </c>
      <c r="AL23" s="1" t="str">
        <f t="shared" si="29"/>
        <v/>
      </c>
      <c r="AM23" s="1" t="str">
        <f t="shared" si="30"/>
        <v/>
      </c>
      <c r="AN23" s="1" t="str">
        <f t="shared" si="31"/>
        <v/>
      </c>
      <c r="AO23" s="1" t="str">
        <f t="shared" si="32"/>
        <v/>
      </c>
      <c r="AP23" s="1" t="str">
        <f t="shared" si="33"/>
        <v/>
      </c>
      <c r="AQ23" s="1" t="str">
        <f t="shared" si="34"/>
        <v/>
      </c>
      <c r="AR23" s="1" t="str">
        <f t="shared" si="35"/>
        <v/>
      </c>
      <c r="AS23" s="1" t="str">
        <f t="shared" si="36"/>
        <v/>
      </c>
      <c r="AT23" s="1" t="str">
        <f t="shared" si="37"/>
        <v/>
      </c>
      <c r="AU23" s="1" t="str">
        <f>IF(LEN($AG23)=0,"",X23)</f>
        <v/>
      </c>
      <c r="AV23" s="1" t="str">
        <f t="shared" si="39"/>
        <v/>
      </c>
      <c r="AW23" s="1" t="str">
        <f t="shared" si="40"/>
        <v/>
      </c>
      <c r="AX23" s="1" t="str">
        <f t="shared" si="41"/>
        <v/>
      </c>
      <c r="AY23" s="1" t="str">
        <f t="shared" si="42"/>
        <v/>
      </c>
    </row>
    <row r="24" spans="3:51" x14ac:dyDescent="0.2">
      <c r="F24">
        <v>22</v>
      </c>
      <c r="I24" s="123" t="s">
        <v>141</v>
      </c>
      <c r="J24" s="96">
        <v>0.52900000000000003</v>
      </c>
      <c r="K24" s="66">
        <v>0</v>
      </c>
      <c r="L24" s="66">
        <v>0</v>
      </c>
      <c r="M24" s="67">
        <v>100000</v>
      </c>
      <c r="N24" s="67">
        <v>1000000</v>
      </c>
      <c r="O24" s="67">
        <v>12</v>
      </c>
      <c r="P24" s="67">
        <v>60</v>
      </c>
      <c r="Q24" s="97" t="s">
        <v>109</v>
      </c>
      <c r="R24" s="68" t="s">
        <v>102</v>
      </c>
      <c r="S24" s="69" t="s">
        <v>119</v>
      </c>
      <c r="T24" s="68" t="s">
        <v>102</v>
      </c>
      <c r="U24" s="68"/>
      <c r="V24" s="68" t="s">
        <v>112</v>
      </c>
      <c r="W24" s="71"/>
      <c r="X24" s="71" t="s">
        <v>101</v>
      </c>
      <c r="Y24" s="70"/>
      <c r="Z24" s="72"/>
      <c r="AA24" s="72"/>
      <c r="AB24" s="72"/>
      <c r="AD24">
        <v>22</v>
      </c>
      <c r="AE24" s="9" t="str">
        <f t="shared" si="23"/>
        <v/>
      </c>
      <c r="AF24" s="9" t="str">
        <f t="shared" si="24"/>
        <v/>
      </c>
      <c r="AG24" s="9" t="str">
        <f t="shared" si="22"/>
        <v/>
      </c>
      <c r="AH24" s="1" t="str">
        <f t="shared" si="25"/>
        <v/>
      </c>
      <c r="AI24" s="1" t="str">
        <f t="shared" si="26"/>
        <v/>
      </c>
      <c r="AJ24" s="1" t="str">
        <f t="shared" si="27"/>
        <v/>
      </c>
      <c r="AK24" s="1" t="str">
        <f t="shared" si="28"/>
        <v/>
      </c>
      <c r="AL24" s="1" t="str">
        <f t="shared" si="29"/>
        <v/>
      </c>
      <c r="AM24" s="1" t="str">
        <f t="shared" si="30"/>
        <v/>
      </c>
      <c r="AN24" s="1" t="str">
        <f t="shared" si="31"/>
        <v/>
      </c>
      <c r="AO24" s="1" t="str">
        <f t="shared" si="32"/>
        <v/>
      </c>
      <c r="AP24" s="1" t="str">
        <f t="shared" si="33"/>
        <v/>
      </c>
      <c r="AQ24" s="1" t="str">
        <f t="shared" si="34"/>
        <v/>
      </c>
      <c r="AR24" s="1" t="str">
        <f t="shared" si="35"/>
        <v/>
      </c>
      <c r="AS24" s="1" t="str">
        <f t="shared" si="36"/>
        <v/>
      </c>
      <c r="AT24" s="1" t="str">
        <f t="shared" si="37"/>
        <v/>
      </c>
      <c r="AU24" s="1" t="str">
        <f t="shared" si="38"/>
        <v/>
      </c>
      <c r="AV24" s="1" t="str">
        <f t="shared" si="39"/>
        <v/>
      </c>
      <c r="AW24" s="1" t="str">
        <f t="shared" si="40"/>
        <v/>
      </c>
      <c r="AX24" s="1" t="str">
        <f t="shared" si="41"/>
        <v/>
      </c>
      <c r="AY24" s="1" t="str">
        <f t="shared" si="42"/>
        <v/>
      </c>
    </row>
    <row r="25" spans="3:51" x14ac:dyDescent="0.2">
      <c r="F25">
        <v>23</v>
      </c>
      <c r="I25" s="99" t="s">
        <v>130</v>
      </c>
      <c r="J25" s="96">
        <v>0.39</v>
      </c>
      <c r="K25" s="66">
        <v>0</v>
      </c>
      <c r="L25" s="66">
        <v>0</v>
      </c>
      <c r="M25" s="67">
        <v>100000</v>
      </c>
      <c r="N25" s="67">
        <v>1000000</v>
      </c>
      <c r="O25" s="67">
        <v>12</v>
      </c>
      <c r="P25" s="67">
        <v>12</v>
      </c>
      <c r="Q25" s="68"/>
      <c r="R25" s="68"/>
      <c r="S25" s="69"/>
      <c r="T25" s="68"/>
      <c r="U25" s="68"/>
      <c r="V25" s="68"/>
      <c r="W25" s="71" t="s">
        <v>132</v>
      </c>
      <c r="X25" s="71" t="s">
        <v>0</v>
      </c>
      <c r="Y25" s="70"/>
      <c r="Z25" s="72"/>
      <c r="AA25" s="72"/>
      <c r="AB25" s="72"/>
      <c r="AD25">
        <v>23</v>
      </c>
      <c r="AE25" s="9" t="str">
        <f t="shared" si="23"/>
        <v/>
      </c>
      <c r="AF25" s="9" t="str">
        <f t="shared" si="24"/>
        <v/>
      </c>
      <c r="AG25" s="9" t="str">
        <f t="shared" si="22"/>
        <v/>
      </c>
      <c r="AH25" s="1" t="str">
        <f t="shared" si="25"/>
        <v/>
      </c>
      <c r="AI25" s="1" t="str">
        <f t="shared" si="26"/>
        <v/>
      </c>
      <c r="AJ25" s="1" t="str">
        <f t="shared" si="27"/>
        <v/>
      </c>
      <c r="AK25" s="1" t="str">
        <f t="shared" si="28"/>
        <v/>
      </c>
      <c r="AL25" s="1" t="str">
        <f t="shared" si="29"/>
        <v/>
      </c>
      <c r="AM25" s="1" t="str">
        <f t="shared" si="30"/>
        <v/>
      </c>
      <c r="AN25" s="1" t="str">
        <f t="shared" si="31"/>
        <v/>
      </c>
      <c r="AO25" s="1" t="str">
        <f t="shared" si="32"/>
        <v/>
      </c>
      <c r="AP25" s="1" t="str">
        <f t="shared" si="33"/>
        <v/>
      </c>
      <c r="AQ25" s="1" t="str">
        <f t="shared" si="34"/>
        <v/>
      </c>
      <c r="AR25" s="1" t="str">
        <f t="shared" si="35"/>
        <v/>
      </c>
      <c r="AS25" s="1" t="str">
        <f t="shared" si="36"/>
        <v/>
      </c>
      <c r="AT25" s="1" t="str">
        <f t="shared" si="37"/>
        <v/>
      </c>
      <c r="AU25" s="1" t="str">
        <f t="shared" si="38"/>
        <v/>
      </c>
      <c r="AV25" s="1" t="str">
        <f t="shared" si="39"/>
        <v/>
      </c>
      <c r="AW25" s="1" t="str">
        <f t="shared" si="40"/>
        <v/>
      </c>
      <c r="AX25" s="1" t="str">
        <f t="shared" si="41"/>
        <v/>
      </c>
      <c r="AY25" s="1" t="str">
        <f t="shared" si="42"/>
        <v/>
      </c>
    </row>
    <row r="26" spans="3:51" x14ac:dyDescent="0.2">
      <c r="F26">
        <v>24</v>
      </c>
      <c r="I26" s="99" t="s">
        <v>133</v>
      </c>
      <c r="J26" s="96">
        <v>0.57899999999999996</v>
      </c>
      <c r="K26" s="66">
        <v>0</v>
      </c>
      <c r="L26" s="66">
        <v>0</v>
      </c>
      <c r="M26" s="67">
        <v>10000</v>
      </c>
      <c r="N26" s="67">
        <v>300000</v>
      </c>
      <c r="O26" s="67">
        <v>12</v>
      </c>
      <c r="P26" s="67">
        <v>36</v>
      </c>
      <c r="Q26" s="68" t="s">
        <v>2</v>
      </c>
      <c r="R26" s="68" t="s">
        <v>102</v>
      </c>
      <c r="S26" s="69" t="s">
        <v>119</v>
      </c>
      <c r="T26" s="68" t="s">
        <v>102</v>
      </c>
      <c r="U26" s="73"/>
      <c r="V26" s="68" t="s">
        <v>102</v>
      </c>
      <c r="W26" s="70"/>
      <c r="X26" s="70" t="s">
        <v>0</v>
      </c>
      <c r="Y26" s="70"/>
      <c r="Z26" s="72"/>
      <c r="AA26" s="72"/>
      <c r="AB26" s="72"/>
      <c r="AD26">
        <v>24</v>
      </c>
      <c r="AE26" s="9" t="str">
        <f>IF($I26=$G$3,J26,"")</f>
        <v/>
      </c>
      <c r="AF26" s="9" t="str">
        <f t="shared" si="24"/>
        <v/>
      </c>
      <c r="AG26" s="9" t="str">
        <f t="shared" si="22"/>
        <v/>
      </c>
      <c r="AH26" s="1" t="str">
        <f t="shared" si="25"/>
        <v/>
      </c>
      <c r="AI26" s="1" t="str">
        <f t="shared" si="26"/>
        <v/>
      </c>
      <c r="AJ26" s="1" t="str">
        <f t="shared" si="27"/>
        <v/>
      </c>
      <c r="AK26" s="1" t="str">
        <f t="shared" si="28"/>
        <v/>
      </c>
      <c r="AL26" s="1" t="str">
        <f t="shared" si="29"/>
        <v/>
      </c>
      <c r="AM26" s="1" t="str">
        <f t="shared" si="30"/>
        <v/>
      </c>
      <c r="AN26" s="1" t="str">
        <f t="shared" si="31"/>
        <v/>
      </c>
      <c r="AO26" s="1" t="str">
        <f t="shared" si="32"/>
        <v/>
      </c>
      <c r="AP26" s="1" t="str">
        <f t="shared" si="33"/>
        <v/>
      </c>
      <c r="AQ26" s="1" t="str">
        <f t="shared" si="34"/>
        <v/>
      </c>
      <c r="AR26" s="1" t="str">
        <f t="shared" si="35"/>
        <v/>
      </c>
      <c r="AS26" s="1" t="str">
        <f t="shared" si="36"/>
        <v/>
      </c>
      <c r="AT26" s="1" t="str">
        <f t="shared" si="37"/>
        <v/>
      </c>
      <c r="AU26" s="1" t="str">
        <f t="shared" si="38"/>
        <v/>
      </c>
      <c r="AV26" s="1" t="str">
        <f t="shared" si="39"/>
        <v/>
      </c>
      <c r="AW26" s="1" t="str">
        <f t="shared" si="40"/>
        <v/>
      </c>
      <c r="AX26" s="1" t="str">
        <f t="shared" si="41"/>
        <v/>
      </c>
      <c r="AY26" s="1" t="str">
        <f t="shared" si="42"/>
        <v/>
      </c>
    </row>
    <row r="27" spans="3:51" x14ac:dyDescent="0.2">
      <c r="F27">
        <v>25</v>
      </c>
      <c r="I27" s="99" t="s">
        <v>133</v>
      </c>
      <c r="J27" s="96">
        <v>0.52900000000000003</v>
      </c>
      <c r="K27" s="66">
        <v>0</v>
      </c>
      <c r="L27" s="66">
        <v>0</v>
      </c>
      <c r="M27" s="67">
        <v>100000</v>
      </c>
      <c r="N27" s="67">
        <v>1000000</v>
      </c>
      <c r="O27" s="67">
        <v>12</v>
      </c>
      <c r="P27" s="67">
        <v>60</v>
      </c>
      <c r="Q27" s="97" t="s">
        <v>109</v>
      </c>
      <c r="R27" s="68" t="s">
        <v>102</v>
      </c>
      <c r="S27" s="69" t="s">
        <v>119</v>
      </c>
      <c r="T27" s="68" t="s">
        <v>102</v>
      </c>
      <c r="U27" s="68"/>
      <c r="V27" s="68" t="s">
        <v>112</v>
      </c>
      <c r="W27" s="71"/>
      <c r="X27" s="71" t="s">
        <v>0</v>
      </c>
      <c r="Y27" s="70"/>
      <c r="Z27" s="72"/>
      <c r="AA27" s="72"/>
      <c r="AB27" s="72"/>
      <c r="AD27">
        <v>25</v>
      </c>
      <c r="AE27" s="9" t="str">
        <f t="shared" si="23"/>
        <v/>
      </c>
      <c r="AF27" s="9" t="str">
        <f t="shared" si="24"/>
        <v/>
      </c>
      <c r="AG27" s="9" t="str">
        <f t="shared" si="22"/>
        <v/>
      </c>
      <c r="AH27" s="1" t="str">
        <f t="shared" si="25"/>
        <v/>
      </c>
      <c r="AI27" s="1" t="str">
        <f t="shared" si="26"/>
        <v/>
      </c>
      <c r="AJ27" s="1" t="str">
        <f t="shared" si="27"/>
        <v/>
      </c>
      <c r="AK27" s="1" t="str">
        <f t="shared" si="28"/>
        <v/>
      </c>
      <c r="AL27" s="1" t="str">
        <f t="shared" si="29"/>
        <v/>
      </c>
      <c r="AM27" s="1" t="str">
        <f t="shared" si="30"/>
        <v/>
      </c>
      <c r="AN27" s="1" t="str">
        <f t="shared" si="31"/>
        <v/>
      </c>
      <c r="AO27" s="1" t="str">
        <f t="shared" si="32"/>
        <v/>
      </c>
      <c r="AP27" s="1" t="str">
        <f t="shared" si="33"/>
        <v/>
      </c>
      <c r="AQ27" s="1" t="str">
        <f t="shared" si="34"/>
        <v/>
      </c>
      <c r="AR27" s="1" t="str">
        <f t="shared" si="35"/>
        <v/>
      </c>
      <c r="AS27" s="1" t="str">
        <f t="shared" si="36"/>
        <v/>
      </c>
      <c r="AT27" s="1" t="str">
        <f t="shared" si="37"/>
        <v/>
      </c>
      <c r="AU27" s="1" t="str">
        <f t="shared" si="38"/>
        <v/>
      </c>
      <c r="AV27" s="1" t="str">
        <f t="shared" si="39"/>
        <v/>
      </c>
      <c r="AW27" s="1" t="str">
        <f t="shared" si="40"/>
        <v/>
      </c>
      <c r="AX27" s="1" t="str">
        <f t="shared" si="41"/>
        <v/>
      </c>
      <c r="AY27" s="1" t="str">
        <f t="shared" si="42"/>
        <v/>
      </c>
    </row>
    <row r="28" spans="3:51" x14ac:dyDescent="0.2">
      <c r="F28">
        <v>26</v>
      </c>
      <c r="I28" s="123" t="s">
        <v>141</v>
      </c>
      <c r="J28" s="96">
        <v>0.39</v>
      </c>
      <c r="K28" s="66">
        <v>0</v>
      </c>
      <c r="L28" s="66">
        <v>0</v>
      </c>
      <c r="M28" s="67">
        <v>100000</v>
      </c>
      <c r="N28" s="67">
        <v>1000000</v>
      </c>
      <c r="O28" s="67">
        <v>12</v>
      </c>
      <c r="P28" s="67">
        <v>12</v>
      </c>
      <c r="Q28" s="68"/>
      <c r="R28" s="68"/>
      <c r="S28" s="69"/>
      <c r="T28" s="68"/>
      <c r="U28" s="68"/>
      <c r="V28" s="68"/>
      <c r="W28" s="71" t="s">
        <v>132</v>
      </c>
      <c r="X28" s="71" t="s">
        <v>101</v>
      </c>
      <c r="Y28" s="70"/>
      <c r="Z28" s="72"/>
      <c r="AA28" s="72"/>
      <c r="AB28" s="72"/>
      <c r="AD28">
        <v>26</v>
      </c>
      <c r="AE28" s="9" t="str">
        <f t="shared" si="23"/>
        <v/>
      </c>
      <c r="AF28" s="9" t="str">
        <f t="shared" si="24"/>
        <v/>
      </c>
      <c r="AG28" s="9" t="str">
        <f t="shared" si="22"/>
        <v/>
      </c>
      <c r="AH28" s="1" t="str">
        <f t="shared" si="25"/>
        <v/>
      </c>
      <c r="AI28" s="1" t="str">
        <f t="shared" si="26"/>
        <v/>
      </c>
      <c r="AJ28" s="1" t="str">
        <f t="shared" si="27"/>
        <v/>
      </c>
      <c r="AK28" s="1" t="str">
        <f t="shared" si="28"/>
        <v/>
      </c>
      <c r="AL28" s="1" t="str">
        <f t="shared" si="29"/>
        <v/>
      </c>
      <c r="AM28" s="1" t="str">
        <f t="shared" si="30"/>
        <v/>
      </c>
      <c r="AN28" s="1" t="str">
        <f t="shared" si="31"/>
        <v/>
      </c>
      <c r="AO28" s="1" t="str">
        <f t="shared" si="32"/>
        <v/>
      </c>
      <c r="AP28" s="1" t="str">
        <f t="shared" si="33"/>
        <v/>
      </c>
      <c r="AQ28" s="1" t="str">
        <f t="shared" si="34"/>
        <v/>
      </c>
      <c r="AR28" s="1" t="str">
        <f t="shared" si="35"/>
        <v/>
      </c>
      <c r="AS28" s="1" t="str">
        <f t="shared" si="36"/>
        <v/>
      </c>
      <c r="AT28" s="1" t="str">
        <f t="shared" si="37"/>
        <v/>
      </c>
      <c r="AU28" s="1" t="str">
        <f t="shared" si="38"/>
        <v/>
      </c>
      <c r="AV28" s="1" t="str">
        <f t="shared" si="39"/>
        <v/>
      </c>
      <c r="AW28" s="1" t="str">
        <f t="shared" si="40"/>
        <v/>
      </c>
      <c r="AX28" s="1" t="str">
        <f t="shared" si="41"/>
        <v/>
      </c>
      <c r="AY28" s="1" t="str">
        <f t="shared" si="42"/>
        <v/>
      </c>
    </row>
    <row r="29" spans="3:51" x14ac:dyDescent="0.2">
      <c r="F29">
        <v>27</v>
      </c>
      <c r="I29" s="123" t="s">
        <v>142</v>
      </c>
      <c r="J29" s="96">
        <v>0.39</v>
      </c>
      <c r="K29" s="70">
        <v>0</v>
      </c>
      <c r="L29" s="70">
        <v>0</v>
      </c>
      <c r="M29" s="67">
        <v>50000</v>
      </c>
      <c r="N29" s="67">
        <v>700000</v>
      </c>
      <c r="O29" s="67">
        <v>12</v>
      </c>
      <c r="P29" s="67">
        <v>12</v>
      </c>
      <c r="Q29" s="68"/>
      <c r="R29" s="67"/>
      <c r="S29" s="67"/>
      <c r="T29" s="67"/>
      <c r="U29" s="67"/>
      <c r="V29" s="67"/>
      <c r="W29" s="70" t="s">
        <v>132</v>
      </c>
      <c r="X29" s="70" t="s">
        <v>77</v>
      </c>
      <c r="Y29" s="70"/>
      <c r="Z29" s="72"/>
      <c r="AA29" s="72"/>
      <c r="AB29" s="72"/>
      <c r="AD29">
        <v>27</v>
      </c>
      <c r="AE29" s="9" t="str">
        <f t="shared" si="23"/>
        <v/>
      </c>
      <c r="AF29" s="9" t="str">
        <f t="shared" si="24"/>
        <v/>
      </c>
      <c r="AG29" s="9" t="str">
        <f t="shared" si="22"/>
        <v/>
      </c>
      <c r="AH29" s="1" t="str">
        <f t="shared" si="25"/>
        <v/>
      </c>
      <c r="AI29" s="1" t="str">
        <f t="shared" si="26"/>
        <v/>
      </c>
      <c r="AJ29" s="1" t="str">
        <f t="shared" si="27"/>
        <v/>
      </c>
      <c r="AK29" s="1" t="str">
        <f t="shared" si="28"/>
        <v/>
      </c>
      <c r="AL29" s="1" t="str">
        <f t="shared" si="29"/>
        <v/>
      </c>
      <c r="AM29" s="1" t="str">
        <f t="shared" si="30"/>
        <v/>
      </c>
      <c r="AN29" s="1" t="str">
        <f t="shared" si="31"/>
        <v/>
      </c>
      <c r="AO29" s="1" t="str">
        <f t="shared" si="32"/>
        <v/>
      </c>
      <c r="AP29" s="1" t="str">
        <f t="shared" si="33"/>
        <v/>
      </c>
      <c r="AQ29" s="1" t="str">
        <f t="shared" si="34"/>
        <v/>
      </c>
      <c r="AR29" s="1" t="str">
        <f t="shared" si="35"/>
        <v/>
      </c>
      <c r="AS29" s="1" t="str">
        <f t="shared" si="36"/>
        <v/>
      </c>
      <c r="AT29" s="1" t="str">
        <f t="shared" si="37"/>
        <v/>
      </c>
      <c r="AU29" s="1" t="str">
        <f t="shared" si="38"/>
        <v/>
      </c>
      <c r="AV29" s="1" t="str">
        <f t="shared" si="39"/>
        <v/>
      </c>
      <c r="AW29" s="1" t="str">
        <f t="shared" si="40"/>
        <v/>
      </c>
      <c r="AX29" s="1" t="str">
        <f t="shared" si="41"/>
        <v/>
      </c>
      <c r="AY29" s="1" t="str">
        <f t="shared" si="42"/>
        <v/>
      </c>
    </row>
    <row r="30" spans="3:51" x14ac:dyDescent="0.2">
      <c r="F30">
        <v>28</v>
      </c>
      <c r="I30" s="99" t="s">
        <v>131</v>
      </c>
      <c r="J30" s="96">
        <v>0.39</v>
      </c>
      <c r="K30" s="70">
        <v>0</v>
      </c>
      <c r="L30" s="70">
        <v>0</v>
      </c>
      <c r="M30" s="67">
        <v>50000</v>
      </c>
      <c r="N30" s="67">
        <v>700000</v>
      </c>
      <c r="O30" s="67">
        <v>12</v>
      </c>
      <c r="P30" s="67">
        <v>12</v>
      </c>
      <c r="Q30" s="68"/>
      <c r="R30" s="67"/>
      <c r="S30" s="67"/>
      <c r="T30" s="67"/>
      <c r="U30" s="67"/>
      <c r="V30" s="67"/>
      <c r="W30" s="70" t="s">
        <v>132</v>
      </c>
      <c r="X30" s="70" t="s">
        <v>0</v>
      </c>
      <c r="Y30" s="70"/>
      <c r="Z30" s="72"/>
      <c r="AA30" s="72"/>
      <c r="AB30" s="72"/>
      <c r="AD30">
        <v>28</v>
      </c>
      <c r="AE30" s="9" t="str">
        <f t="shared" si="23"/>
        <v/>
      </c>
      <c r="AF30" s="9" t="str">
        <f t="shared" si="24"/>
        <v/>
      </c>
      <c r="AG30" s="9" t="str">
        <f t="shared" si="22"/>
        <v/>
      </c>
      <c r="AH30" s="1" t="str">
        <f t="shared" si="25"/>
        <v/>
      </c>
      <c r="AI30" s="1" t="str">
        <f t="shared" si="26"/>
        <v/>
      </c>
      <c r="AJ30" s="1" t="str">
        <f t="shared" si="27"/>
        <v/>
      </c>
      <c r="AK30" s="1" t="str">
        <f t="shared" si="28"/>
        <v/>
      </c>
      <c r="AL30" s="1" t="str">
        <f t="shared" si="29"/>
        <v/>
      </c>
      <c r="AM30" s="1" t="str">
        <f t="shared" si="30"/>
        <v/>
      </c>
      <c r="AN30" s="1" t="str">
        <f t="shared" si="31"/>
        <v/>
      </c>
      <c r="AO30" s="1" t="str">
        <f t="shared" si="32"/>
        <v/>
      </c>
      <c r="AP30" s="1" t="str">
        <f t="shared" si="33"/>
        <v/>
      </c>
      <c r="AQ30" s="1" t="str">
        <f t="shared" si="34"/>
        <v/>
      </c>
      <c r="AR30" s="1" t="str">
        <f t="shared" si="35"/>
        <v/>
      </c>
      <c r="AS30" s="1" t="str">
        <f t="shared" si="36"/>
        <v/>
      </c>
      <c r="AT30" s="1" t="str">
        <f t="shared" si="37"/>
        <v/>
      </c>
      <c r="AU30" s="1" t="str">
        <f t="shared" si="38"/>
        <v/>
      </c>
      <c r="AV30" s="1" t="str">
        <f t="shared" si="39"/>
        <v/>
      </c>
      <c r="AW30" s="1" t="str">
        <f t="shared" si="40"/>
        <v/>
      </c>
      <c r="AX30" s="1" t="str">
        <f t="shared" si="41"/>
        <v/>
      </c>
      <c r="AY30" s="1" t="str">
        <f t="shared" si="42"/>
        <v/>
      </c>
    </row>
    <row r="31" spans="3:51" x14ac:dyDescent="0.2">
      <c r="F31">
        <v>29</v>
      </c>
      <c r="I31" s="99"/>
      <c r="J31" s="96"/>
      <c r="K31" s="70"/>
      <c r="L31" s="70"/>
      <c r="M31" s="67"/>
      <c r="N31" s="67"/>
      <c r="O31" s="67"/>
      <c r="P31" s="67"/>
      <c r="Q31" s="68"/>
      <c r="R31" s="67"/>
      <c r="S31" s="67"/>
      <c r="T31" s="67"/>
      <c r="U31" s="67"/>
      <c r="V31" s="67"/>
      <c r="W31" s="70"/>
      <c r="X31" s="70"/>
      <c r="Y31" s="70"/>
      <c r="Z31" s="72"/>
      <c r="AA31" s="72"/>
      <c r="AB31" s="72"/>
      <c r="AD31">
        <v>29</v>
      </c>
      <c r="AE31" s="9">
        <f t="shared" si="23"/>
        <v>0</v>
      </c>
      <c r="AF31" s="9" t="str">
        <f t="shared" si="24"/>
        <v>0%  (від  до  грн. на строк - міс.)</v>
      </c>
      <c r="AG31" s="9" t="str">
        <f t="shared" si="22"/>
        <v/>
      </c>
      <c r="AH31" s="1" t="str">
        <f t="shared" si="25"/>
        <v/>
      </c>
      <c r="AI31" s="1" t="str">
        <f t="shared" si="26"/>
        <v/>
      </c>
      <c r="AJ31" s="1" t="str">
        <f t="shared" si="27"/>
        <v/>
      </c>
      <c r="AK31" s="1" t="str">
        <f t="shared" si="28"/>
        <v/>
      </c>
      <c r="AL31" s="1" t="str">
        <f t="shared" si="29"/>
        <v/>
      </c>
      <c r="AM31" s="1" t="str">
        <f t="shared" si="30"/>
        <v/>
      </c>
      <c r="AN31" s="1" t="str">
        <f t="shared" si="31"/>
        <v/>
      </c>
      <c r="AO31" s="1" t="str">
        <f t="shared" si="32"/>
        <v/>
      </c>
      <c r="AP31" s="1" t="str">
        <f t="shared" si="33"/>
        <v/>
      </c>
      <c r="AQ31" s="1" t="str">
        <f t="shared" si="34"/>
        <v/>
      </c>
      <c r="AR31" s="1" t="str">
        <f t="shared" si="35"/>
        <v/>
      </c>
      <c r="AS31" s="1" t="str">
        <f t="shared" si="36"/>
        <v/>
      </c>
      <c r="AT31" s="1" t="str">
        <f t="shared" si="37"/>
        <v/>
      </c>
      <c r="AU31" s="1" t="str">
        <f t="shared" si="38"/>
        <v/>
      </c>
      <c r="AV31" s="1" t="str">
        <f t="shared" si="39"/>
        <v/>
      </c>
      <c r="AW31" s="1" t="str">
        <f t="shared" si="40"/>
        <v/>
      </c>
      <c r="AX31" s="1" t="str">
        <f t="shared" si="41"/>
        <v/>
      </c>
      <c r="AY31" s="1" t="str">
        <f t="shared" si="42"/>
        <v/>
      </c>
    </row>
    <row r="32" spans="3:51" x14ac:dyDescent="0.2">
      <c r="F32">
        <v>30</v>
      </c>
      <c r="I32" s="65"/>
      <c r="J32" s="70"/>
      <c r="K32" s="70"/>
      <c r="L32" s="70"/>
      <c r="M32" s="67"/>
      <c r="N32" s="67"/>
      <c r="O32" s="67"/>
      <c r="P32" s="67"/>
      <c r="Q32" s="68"/>
      <c r="R32" s="67"/>
      <c r="S32" s="67"/>
      <c r="T32" s="67"/>
      <c r="U32" s="67"/>
      <c r="V32" s="67"/>
      <c r="W32" s="70"/>
      <c r="X32" s="70"/>
      <c r="Y32" s="70"/>
      <c r="Z32" s="72"/>
      <c r="AA32" s="72"/>
      <c r="AB32" s="72"/>
      <c r="AD32">
        <v>30</v>
      </c>
      <c r="AE32" s="9">
        <f t="shared" si="23"/>
        <v>0</v>
      </c>
      <c r="AF32" s="9" t="str">
        <f t="shared" si="24"/>
        <v>0%  (від  до  грн. на строк - міс.)</v>
      </c>
      <c r="AG32" s="9" t="str">
        <f t="shared" si="22"/>
        <v/>
      </c>
      <c r="AH32" s="1" t="str">
        <f t="shared" si="25"/>
        <v/>
      </c>
      <c r="AI32" s="1" t="str">
        <f t="shared" si="26"/>
        <v/>
      </c>
      <c r="AJ32" s="1" t="str">
        <f t="shared" si="27"/>
        <v/>
      </c>
      <c r="AK32" s="1" t="str">
        <f t="shared" si="28"/>
        <v/>
      </c>
      <c r="AL32" s="1" t="str">
        <f t="shared" si="29"/>
        <v/>
      </c>
      <c r="AM32" s="1" t="str">
        <f t="shared" si="30"/>
        <v/>
      </c>
      <c r="AN32" s="1" t="str">
        <f t="shared" si="31"/>
        <v/>
      </c>
      <c r="AO32" s="1" t="str">
        <f t="shared" si="32"/>
        <v/>
      </c>
      <c r="AP32" s="1" t="str">
        <f t="shared" si="33"/>
        <v/>
      </c>
      <c r="AQ32" s="1" t="str">
        <f t="shared" si="34"/>
        <v/>
      </c>
      <c r="AR32" s="1" t="str">
        <f t="shared" si="35"/>
        <v/>
      </c>
      <c r="AS32" s="1" t="str">
        <f t="shared" si="36"/>
        <v/>
      </c>
      <c r="AT32" s="1" t="str">
        <f t="shared" si="37"/>
        <v/>
      </c>
      <c r="AU32" s="1" t="str">
        <f t="shared" si="38"/>
        <v/>
      </c>
      <c r="AV32" s="1" t="str">
        <f t="shared" si="39"/>
        <v/>
      </c>
      <c r="AW32" s="1" t="str">
        <f t="shared" si="40"/>
        <v/>
      </c>
      <c r="AX32" s="1" t="str">
        <f t="shared" si="41"/>
        <v/>
      </c>
      <c r="AY32" s="1" t="str">
        <f t="shared" si="42"/>
        <v/>
      </c>
    </row>
    <row r="33" spans="6:51" x14ac:dyDescent="0.2">
      <c r="F33">
        <v>31</v>
      </c>
      <c r="I33" s="65"/>
      <c r="J33" s="70"/>
      <c r="K33" s="70"/>
      <c r="L33" s="70"/>
      <c r="M33" s="67"/>
      <c r="N33" s="67"/>
      <c r="O33" s="67"/>
      <c r="P33" s="67"/>
      <c r="Q33" s="68"/>
      <c r="R33" s="67"/>
      <c r="S33" s="67"/>
      <c r="T33" s="67"/>
      <c r="U33" s="67"/>
      <c r="V33" s="67"/>
      <c r="W33" s="70"/>
      <c r="X33" s="70"/>
      <c r="Y33" s="70"/>
      <c r="Z33" s="72"/>
      <c r="AA33" s="72"/>
      <c r="AB33" s="72"/>
      <c r="AD33">
        <v>31</v>
      </c>
      <c r="AE33" s="9">
        <f t="shared" si="23"/>
        <v>0</v>
      </c>
      <c r="AF33" s="9" t="str">
        <f t="shared" si="24"/>
        <v>0%  (від  до  грн. на строк - міс.)</v>
      </c>
      <c r="AG33" s="9" t="str">
        <f t="shared" si="22"/>
        <v/>
      </c>
      <c r="AH33" s="1" t="str">
        <f t="shared" si="25"/>
        <v/>
      </c>
      <c r="AI33" s="1" t="str">
        <f t="shared" si="26"/>
        <v/>
      </c>
      <c r="AJ33" s="1" t="str">
        <f t="shared" si="27"/>
        <v/>
      </c>
      <c r="AK33" s="1" t="str">
        <f t="shared" si="28"/>
        <v/>
      </c>
      <c r="AL33" s="1" t="str">
        <f t="shared" si="29"/>
        <v/>
      </c>
      <c r="AM33" s="1" t="str">
        <f t="shared" si="30"/>
        <v/>
      </c>
      <c r="AN33" s="1" t="str">
        <f t="shared" si="31"/>
        <v/>
      </c>
      <c r="AO33" s="1" t="str">
        <f t="shared" si="32"/>
        <v/>
      </c>
      <c r="AP33" s="1" t="str">
        <f t="shared" si="33"/>
        <v/>
      </c>
      <c r="AQ33" s="1" t="str">
        <f t="shared" si="34"/>
        <v/>
      </c>
      <c r="AR33" s="1" t="str">
        <f t="shared" si="35"/>
        <v/>
      </c>
      <c r="AS33" s="1" t="str">
        <f t="shared" si="36"/>
        <v/>
      </c>
      <c r="AT33" s="1" t="str">
        <f t="shared" si="37"/>
        <v/>
      </c>
      <c r="AU33" s="1" t="str">
        <f t="shared" si="38"/>
        <v/>
      </c>
      <c r="AV33" s="1" t="str">
        <f t="shared" si="39"/>
        <v/>
      </c>
      <c r="AW33" s="1" t="str">
        <f t="shared" si="40"/>
        <v/>
      </c>
      <c r="AX33" s="1" t="str">
        <f t="shared" si="41"/>
        <v/>
      </c>
      <c r="AY33" s="1" t="str">
        <f t="shared" si="42"/>
        <v/>
      </c>
    </row>
    <row r="34" spans="6:51" x14ac:dyDescent="0.2">
      <c r="F34">
        <v>32</v>
      </c>
      <c r="I34" s="65"/>
      <c r="J34" s="70"/>
      <c r="K34" s="70"/>
      <c r="L34" s="70"/>
      <c r="M34" s="67"/>
      <c r="N34" s="67"/>
      <c r="O34" s="67"/>
      <c r="P34" s="67"/>
      <c r="Q34" s="68"/>
      <c r="R34" s="67"/>
      <c r="S34" s="67"/>
      <c r="T34" s="67"/>
      <c r="U34" s="67"/>
      <c r="V34" s="67"/>
      <c r="W34" s="70"/>
      <c r="X34" s="70"/>
      <c r="Y34" s="70"/>
      <c r="Z34" s="72"/>
      <c r="AA34" s="72"/>
      <c r="AB34" s="72"/>
      <c r="AD34">
        <v>32</v>
      </c>
      <c r="AE34" s="9">
        <f t="shared" si="23"/>
        <v>0</v>
      </c>
      <c r="AF34" s="9" t="str">
        <f t="shared" si="24"/>
        <v>0%  (від  до  грн. на строк - міс.)</v>
      </c>
      <c r="AG34" s="9" t="str">
        <f t="shared" si="22"/>
        <v/>
      </c>
      <c r="AH34" s="1" t="str">
        <f t="shared" si="25"/>
        <v/>
      </c>
      <c r="AI34" s="1" t="str">
        <f t="shared" si="26"/>
        <v/>
      </c>
      <c r="AJ34" s="1" t="str">
        <f t="shared" si="27"/>
        <v/>
      </c>
      <c r="AK34" s="1" t="str">
        <f t="shared" si="28"/>
        <v/>
      </c>
      <c r="AL34" s="1" t="str">
        <f t="shared" si="29"/>
        <v/>
      </c>
      <c r="AM34" s="1" t="str">
        <f t="shared" si="30"/>
        <v/>
      </c>
      <c r="AN34" s="1" t="str">
        <f t="shared" si="31"/>
        <v/>
      </c>
      <c r="AO34" s="1" t="str">
        <f t="shared" si="32"/>
        <v/>
      </c>
      <c r="AP34" s="1" t="str">
        <f t="shared" si="33"/>
        <v/>
      </c>
      <c r="AQ34" s="1" t="str">
        <f t="shared" si="34"/>
        <v/>
      </c>
      <c r="AR34" s="1" t="str">
        <f t="shared" si="35"/>
        <v/>
      </c>
      <c r="AS34" s="1" t="str">
        <f t="shared" si="36"/>
        <v/>
      </c>
      <c r="AT34" s="1" t="str">
        <f t="shared" si="37"/>
        <v/>
      </c>
      <c r="AU34" s="1" t="str">
        <f t="shared" si="38"/>
        <v/>
      </c>
      <c r="AV34" s="1" t="str">
        <f t="shared" si="39"/>
        <v/>
      </c>
      <c r="AW34" s="1" t="str">
        <f t="shared" si="40"/>
        <v/>
      </c>
      <c r="AX34" s="1" t="str">
        <f t="shared" si="41"/>
        <v/>
      </c>
      <c r="AY34" s="1" t="str">
        <f t="shared" si="42"/>
        <v/>
      </c>
    </row>
    <row r="35" spans="6:51" x14ac:dyDescent="0.2">
      <c r="F35">
        <v>33</v>
      </c>
      <c r="I35" s="65"/>
      <c r="J35" s="70"/>
      <c r="K35" s="70"/>
      <c r="L35" s="70"/>
      <c r="M35" s="67"/>
      <c r="N35" s="67"/>
      <c r="O35" s="67"/>
      <c r="P35" s="67"/>
      <c r="Q35" s="68"/>
      <c r="R35" s="67"/>
      <c r="S35" s="67"/>
      <c r="T35" s="67"/>
      <c r="U35" s="67"/>
      <c r="V35" s="67"/>
      <c r="W35" s="70"/>
      <c r="X35" s="70"/>
      <c r="Y35" s="70"/>
      <c r="Z35" s="72"/>
      <c r="AA35" s="72"/>
      <c r="AB35" s="72"/>
      <c r="AD35">
        <v>33</v>
      </c>
      <c r="AE35" s="9">
        <f t="shared" si="23"/>
        <v>0</v>
      </c>
      <c r="AF35" s="9" t="str">
        <f t="shared" si="24"/>
        <v>0%  (від  до  грн. на строк - міс.)</v>
      </c>
      <c r="AG35" s="9" t="str">
        <f t="shared" si="22"/>
        <v/>
      </c>
      <c r="AH35" s="1" t="str">
        <f t="shared" si="25"/>
        <v/>
      </c>
      <c r="AI35" s="1" t="str">
        <f t="shared" si="26"/>
        <v/>
      </c>
      <c r="AJ35" s="1" t="str">
        <f t="shared" si="27"/>
        <v/>
      </c>
      <c r="AK35" s="1" t="str">
        <f t="shared" si="28"/>
        <v/>
      </c>
      <c r="AL35" s="1" t="str">
        <f t="shared" si="29"/>
        <v/>
      </c>
      <c r="AM35" s="1" t="str">
        <f t="shared" si="30"/>
        <v/>
      </c>
      <c r="AN35" s="1" t="str">
        <f t="shared" si="31"/>
        <v/>
      </c>
      <c r="AO35" s="1" t="str">
        <f t="shared" si="32"/>
        <v/>
      </c>
      <c r="AP35" s="1" t="str">
        <f t="shared" si="33"/>
        <v/>
      </c>
      <c r="AQ35" s="1" t="str">
        <f t="shared" si="34"/>
        <v/>
      </c>
      <c r="AR35" s="1" t="str">
        <f t="shared" si="35"/>
        <v/>
      </c>
      <c r="AS35" s="1" t="str">
        <f t="shared" si="36"/>
        <v/>
      </c>
      <c r="AT35" s="1" t="str">
        <f t="shared" si="37"/>
        <v/>
      </c>
      <c r="AU35" s="1" t="str">
        <f t="shared" si="38"/>
        <v/>
      </c>
      <c r="AV35" s="1" t="str">
        <f t="shared" si="39"/>
        <v/>
      </c>
      <c r="AW35" s="1" t="str">
        <f t="shared" si="40"/>
        <v/>
      </c>
      <c r="AX35" s="1" t="str">
        <f t="shared" si="41"/>
        <v/>
      </c>
      <c r="AY35" s="1" t="str">
        <f t="shared" si="42"/>
        <v/>
      </c>
    </row>
    <row r="36" spans="6:51" x14ac:dyDescent="0.2">
      <c r="F36">
        <v>34</v>
      </c>
      <c r="I36" s="65"/>
      <c r="J36" s="70"/>
      <c r="K36" s="70"/>
      <c r="L36" s="70"/>
      <c r="M36" s="67"/>
      <c r="N36" s="67"/>
      <c r="O36" s="67"/>
      <c r="P36" s="67"/>
      <c r="Q36" s="68"/>
      <c r="R36" s="67"/>
      <c r="S36" s="67"/>
      <c r="T36" s="67"/>
      <c r="U36" s="67"/>
      <c r="V36" s="67"/>
      <c r="W36" s="70"/>
      <c r="X36" s="70"/>
      <c r="Y36" s="70"/>
      <c r="Z36" s="72"/>
      <c r="AA36" s="72"/>
      <c r="AB36" s="72"/>
      <c r="AD36">
        <v>34</v>
      </c>
      <c r="AE36" s="9">
        <f t="shared" si="23"/>
        <v>0</v>
      </c>
      <c r="AF36" s="9" t="str">
        <f t="shared" si="24"/>
        <v>0%  (від  до  грн. на строк - міс.)</v>
      </c>
      <c r="AG36" s="9" t="str">
        <f t="shared" si="22"/>
        <v/>
      </c>
      <c r="AH36" s="1" t="str">
        <f t="shared" si="25"/>
        <v/>
      </c>
      <c r="AI36" s="1" t="str">
        <f t="shared" si="26"/>
        <v/>
      </c>
      <c r="AJ36" s="1" t="str">
        <f t="shared" si="27"/>
        <v/>
      </c>
      <c r="AK36" s="1" t="str">
        <f t="shared" si="28"/>
        <v/>
      </c>
      <c r="AL36" s="1" t="str">
        <f t="shared" si="29"/>
        <v/>
      </c>
      <c r="AM36" s="1" t="str">
        <f t="shared" si="30"/>
        <v/>
      </c>
      <c r="AN36" s="1" t="str">
        <f t="shared" si="31"/>
        <v/>
      </c>
      <c r="AO36" s="1" t="str">
        <f t="shared" si="32"/>
        <v/>
      </c>
      <c r="AP36" s="1" t="str">
        <f t="shared" si="33"/>
        <v/>
      </c>
      <c r="AQ36" s="1" t="str">
        <f t="shared" si="34"/>
        <v/>
      </c>
      <c r="AR36" s="1" t="str">
        <f t="shared" si="35"/>
        <v/>
      </c>
      <c r="AS36" s="1" t="str">
        <f t="shared" si="36"/>
        <v/>
      </c>
      <c r="AT36" s="1" t="str">
        <f t="shared" si="37"/>
        <v/>
      </c>
      <c r="AU36" s="1" t="str">
        <f t="shared" si="38"/>
        <v/>
      </c>
      <c r="AV36" s="1" t="str">
        <f t="shared" si="39"/>
        <v/>
      </c>
      <c r="AW36" s="1" t="str">
        <f t="shared" si="40"/>
        <v/>
      </c>
      <c r="AX36" s="1" t="str">
        <f t="shared" si="41"/>
        <v/>
      </c>
      <c r="AY36" s="1" t="str">
        <f t="shared" si="42"/>
        <v/>
      </c>
    </row>
    <row r="37" spans="6:51" x14ac:dyDescent="0.2">
      <c r="F37">
        <v>35</v>
      </c>
      <c r="I37" s="65"/>
      <c r="J37" s="70"/>
      <c r="K37" s="70"/>
      <c r="L37" s="70"/>
      <c r="M37" s="67"/>
      <c r="N37" s="67"/>
      <c r="O37" s="67"/>
      <c r="P37" s="67"/>
      <c r="Q37" s="68"/>
      <c r="R37" s="67"/>
      <c r="S37" s="67"/>
      <c r="T37" s="67"/>
      <c r="U37" s="67"/>
      <c r="V37" s="67"/>
      <c r="W37" s="70"/>
      <c r="X37" s="70"/>
      <c r="Y37" s="70"/>
      <c r="Z37" s="72"/>
      <c r="AA37" s="72"/>
      <c r="AB37" s="72"/>
      <c r="AD37">
        <v>35</v>
      </c>
      <c r="AE37" s="9">
        <f t="shared" si="23"/>
        <v>0</v>
      </c>
      <c r="AF37" s="9" t="str">
        <f t="shared" si="24"/>
        <v>0%  (від  до  грн. на строк - міс.)</v>
      </c>
      <c r="AG37" s="9" t="str">
        <f t="shared" si="22"/>
        <v/>
      </c>
      <c r="AH37" s="1" t="str">
        <f t="shared" si="25"/>
        <v/>
      </c>
      <c r="AI37" s="1" t="str">
        <f t="shared" si="26"/>
        <v/>
      </c>
      <c r="AJ37" s="1" t="str">
        <f t="shared" si="27"/>
        <v/>
      </c>
      <c r="AK37" s="1" t="str">
        <f t="shared" si="28"/>
        <v/>
      </c>
      <c r="AL37" s="1" t="str">
        <f t="shared" si="29"/>
        <v/>
      </c>
      <c r="AM37" s="1" t="str">
        <f t="shared" si="30"/>
        <v/>
      </c>
      <c r="AN37" s="1" t="str">
        <f t="shared" si="31"/>
        <v/>
      </c>
      <c r="AO37" s="1" t="str">
        <f t="shared" si="32"/>
        <v/>
      </c>
      <c r="AP37" s="1" t="str">
        <f t="shared" si="33"/>
        <v/>
      </c>
      <c r="AQ37" s="1" t="str">
        <f t="shared" si="34"/>
        <v/>
      </c>
      <c r="AR37" s="1" t="str">
        <f t="shared" si="35"/>
        <v/>
      </c>
      <c r="AS37" s="1" t="str">
        <f t="shared" si="36"/>
        <v/>
      </c>
      <c r="AT37" s="1" t="str">
        <f t="shared" si="37"/>
        <v/>
      </c>
      <c r="AU37" s="1" t="str">
        <f t="shared" si="38"/>
        <v/>
      </c>
      <c r="AV37" s="1" t="str">
        <f t="shared" si="39"/>
        <v/>
      </c>
      <c r="AW37" s="1" t="str">
        <f t="shared" si="40"/>
        <v/>
      </c>
      <c r="AX37" s="1" t="str">
        <f t="shared" si="41"/>
        <v/>
      </c>
      <c r="AY37" s="1" t="str">
        <f t="shared" si="42"/>
        <v/>
      </c>
    </row>
    <row r="38" spans="6:51" x14ac:dyDescent="0.2">
      <c r="F38">
        <v>36</v>
      </c>
      <c r="I38" s="65"/>
      <c r="J38" s="70"/>
      <c r="K38" s="70"/>
      <c r="L38" s="70"/>
      <c r="M38" s="67"/>
      <c r="N38" s="67"/>
      <c r="O38" s="67"/>
      <c r="P38" s="67"/>
      <c r="Q38" s="68"/>
      <c r="R38" s="67"/>
      <c r="S38" s="67"/>
      <c r="T38" s="67"/>
      <c r="U38" s="67"/>
      <c r="V38" s="67"/>
      <c r="W38" s="70"/>
      <c r="X38" s="70"/>
      <c r="Y38" s="70"/>
      <c r="Z38" s="72"/>
      <c r="AA38" s="72"/>
      <c r="AB38" s="72"/>
      <c r="AD38">
        <v>36</v>
      </c>
      <c r="AE38" s="9">
        <f t="shared" si="23"/>
        <v>0</v>
      </c>
      <c r="AF38" s="9" t="str">
        <f t="shared" si="24"/>
        <v>0%  (від  до  грн. на строк - міс.)</v>
      </c>
      <c r="AG38" s="9" t="str">
        <f t="shared" si="22"/>
        <v/>
      </c>
      <c r="AH38" s="1" t="str">
        <f t="shared" si="25"/>
        <v/>
      </c>
      <c r="AI38" s="1" t="str">
        <f t="shared" si="26"/>
        <v/>
      </c>
      <c r="AJ38" s="1" t="str">
        <f t="shared" si="27"/>
        <v/>
      </c>
      <c r="AK38" s="1" t="str">
        <f t="shared" si="28"/>
        <v/>
      </c>
      <c r="AL38" s="1" t="str">
        <f t="shared" si="29"/>
        <v/>
      </c>
      <c r="AM38" s="1" t="str">
        <f t="shared" si="30"/>
        <v/>
      </c>
      <c r="AN38" s="1" t="str">
        <f t="shared" si="31"/>
        <v/>
      </c>
      <c r="AO38" s="1" t="str">
        <f t="shared" si="32"/>
        <v/>
      </c>
      <c r="AP38" s="1" t="str">
        <f t="shared" si="33"/>
        <v/>
      </c>
      <c r="AQ38" s="1" t="str">
        <f t="shared" si="34"/>
        <v/>
      </c>
      <c r="AR38" s="1" t="str">
        <f t="shared" si="35"/>
        <v/>
      </c>
      <c r="AS38" s="1" t="str">
        <f t="shared" si="36"/>
        <v/>
      </c>
      <c r="AT38" s="1" t="str">
        <f t="shared" si="37"/>
        <v/>
      </c>
      <c r="AU38" s="1" t="str">
        <f t="shared" si="38"/>
        <v/>
      </c>
      <c r="AV38" s="1" t="str">
        <f t="shared" si="39"/>
        <v/>
      </c>
      <c r="AW38" s="1" t="str">
        <f t="shared" si="40"/>
        <v/>
      </c>
      <c r="AX38" s="1" t="str">
        <f t="shared" si="41"/>
        <v/>
      </c>
      <c r="AY38" s="1" t="str">
        <f t="shared" si="42"/>
        <v/>
      </c>
    </row>
    <row r="39" spans="6:51" x14ac:dyDescent="0.2">
      <c r="F39">
        <v>37</v>
      </c>
      <c r="I39" s="65"/>
      <c r="J39" s="70"/>
      <c r="K39" s="70"/>
      <c r="L39" s="70"/>
      <c r="M39" s="67"/>
      <c r="N39" s="67"/>
      <c r="O39" s="67"/>
      <c r="P39" s="67"/>
      <c r="Q39" s="68"/>
      <c r="R39" s="67"/>
      <c r="S39" s="67"/>
      <c r="T39" s="67"/>
      <c r="U39" s="67"/>
      <c r="V39" s="67"/>
      <c r="W39" s="70"/>
      <c r="X39" s="70"/>
      <c r="Y39" s="70"/>
      <c r="Z39" s="72"/>
      <c r="AA39" s="72"/>
      <c r="AB39" s="72"/>
      <c r="AD39">
        <v>37</v>
      </c>
      <c r="AE39" s="9">
        <f t="shared" si="23"/>
        <v>0</v>
      </c>
      <c r="AF39" s="9" t="str">
        <f t="shared" si="24"/>
        <v>0%  (від  до  грн. на строк - міс.)</v>
      </c>
      <c r="AG39" s="9" t="str">
        <f t="shared" si="22"/>
        <v/>
      </c>
      <c r="AH39" s="1" t="str">
        <f t="shared" si="25"/>
        <v/>
      </c>
      <c r="AI39" s="1" t="str">
        <f t="shared" si="26"/>
        <v/>
      </c>
      <c r="AJ39" s="1" t="str">
        <f t="shared" si="27"/>
        <v/>
      </c>
      <c r="AK39" s="1" t="str">
        <f t="shared" si="28"/>
        <v/>
      </c>
      <c r="AL39" s="1" t="str">
        <f t="shared" si="29"/>
        <v/>
      </c>
      <c r="AM39" s="1" t="str">
        <f t="shared" si="30"/>
        <v/>
      </c>
      <c r="AN39" s="1" t="str">
        <f t="shared" si="31"/>
        <v/>
      </c>
      <c r="AO39" s="1" t="str">
        <f t="shared" si="32"/>
        <v/>
      </c>
      <c r="AP39" s="1" t="str">
        <f t="shared" si="33"/>
        <v/>
      </c>
      <c r="AQ39" s="1" t="str">
        <f t="shared" si="34"/>
        <v/>
      </c>
      <c r="AR39" s="1" t="str">
        <f t="shared" si="35"/>
        <v/>
      </c>
      <c r="AS39" s="1" t="str">
        <f t="shared" si="36"/>
        <v/>
      </c>
      <c r="AT39" s="1" t="str">
        <f t="shared" si="37"/>
        <v/>
      </c>
      <c r="AU39" s="1" t="str">
        <f t="shared" si="38"/>
        <v/>
      </c>
      <c r="AV39" s="1" t="str">
        <f t="shared" si="39"/>
        <v/>
      </c>
      <c r="AW39" s="1" t="str">
        <f t="shared" si="40"/>
        <v/>
      </c>
      <c r="AX39" s="1" t="str">
        <f t="shared" si="41"/>
        <v/>
      </c>
      <c r="AY39" s="1" t="str">
        <f t="shared" si="42"/>
        <v/>
      </c>
    </row>
    <row r="40" spans="6:51" x14ac:dyDescent="0.2">
      <c r="F40">
        <v>38</v>
      </c>
      <c r="I40" s="65"/>
      <c r="J40" s="70"/>
      <c r="K40" s="70"/>
      <c r="L40" s="70"/>
      <c r="M40" s="67"/>
      <c r="N40" s="67"/>
      <c r="O40" s="67"/>
      <c r="P40" s="67"/>
      <c r="Q40" s="68"/>
      <c r="R40" s="67"/>
      <c r="S40" s="67"/>
      <c r="T40" s="67"/>
      <c r="U40" s="67"/>
      <c r="V40" s="67"/>
      <c r="W40" s="70"/>
      <c r="X40" s="70"/>
      <c r="Y40" s="70"/>
      <c r="Z40" s="72"/>
      <c r="AA40" s="72"/>
      <c r="AB40" s="72"/>
      <c r="AD40">
        <v>38</v>
      </c>
      <c r="AE40" s="9">
        <f t="shared" si="23"/>
        <v>0</v>
      </c>
      <c r="AF40" s="9" t="str">
        <f t="shared" si="24"/>
        <v>0%  (від  до  грн. на строк - міс.)</v>
      </c>
      <c r="AG40" s="9" t="str">
        <f t="shared" si="22"/>
        <v/>
      </c>
      <c r="AH40" s="1" t="str">
        <f t="shared" si="25"/>
        <v/>
      </c>
      <c r="AI40" s="1" t="str">
        <f t="shared" si="26"/>
        <v/>
      </c>
      <c r="AJ40" s="1" t="str">
        <f t="shared" si="27"/>
        <v/>
      </c>
      <c r="AK40" s="1" t="str">
        <f t="shared" si="28"/>
        <v/>
      </c>
      <c r="AL40" s="1" t="str">
        <f t="shared" si="29"/>
        <v/>
      </c>
      <c r="AM40" s="1" t="str">
        <f t="shared" si="30"/>
        <v/>
      </c>
      <c r="AN40" s="1" t="str">
        <f t="shared" si="31"/>
        <v/>
      </c>
      <c r="AO40" s="1" t="str">
        <f t="shared" si="32"/>
        <v/>
      </c>
      <c r="AP40" s="1" t="str">
        <f t="shared" si="33"/>
        <v/>
      </c>
      <c r="AQ40" s="1" t="str">
        <f t="shared" si="34"/>
        <v/>
      </c>
      <c r="AR40" s="1" t="str">
        <f t="shared" si="35"/>
        <v/>
      </c>
      <c r="AS40" s="1" t="str">
        <f t="shared" si="36"/>
        <v/>
      </c>
      <c r="AT40" s="1" t="str">
        <f t="shared" si="37"/>
        <v/>
      </c>
      <c r="AU40" s="1" t="str">
        <f t="shared" si="38"/>
        <v/>
      </c>
      <c r="AV40" s="1" t="str">
        <f t="shared" si="39"/>
        <v/>
      </c>
      <c r="AW40" s="1" t="str">
        <f t="shared" si="40"/>
        <v/>
      </c>
      <c r="AX40" s="1" t="str">
        <f t="shared" si="41"/>
        <v/>
      </c>
      <c r="AY40" s="1" t="str">
        <f t="shared" si="42"/>
        <v/>
      </c>
    </row>
    <row r="41" spans="6:51" x14ac:dyDescent="0.2">
      <c r="F41">
        <v>39</v>
      </c>
      <c r="I41" s="65"/>
      <c r="J41" s="70"/>
      <c r="K41" s="70"/>
      <c r="L41" s="70"/>
      <c r="M41" s="70"/>
      <c r="N41" s="70"/>
      <c r="O41" s="70"/>
      <c r="P41" s="70"/>
      <c r="Q41" s="70"/>
      <c r="R41" s="70"/>
      <c r="S41" s="70"/>
      <c r="T41" s="70"/>
      <c r="U41" s="70"/>
      <c r="V41" s="70"/>
      <c r="W41" s="70"/>
      <c r="X41" s="70"/>
      <c r="Y41" s="70"/>
      <c r="Z41" s="72"/>
      <c r="AA41" s="72"/>
      <c r="AB41" s="72"/>
      <c r="AD41">
        <v>39</v>
      </c>
      <c r="AE41" s="9">
        <f t="shared" si="23"/>
        <v>0</v>
      </c>
      <c r="AF41" s="9" t="str">
        <f t="shared" si="24"/>
        <v>0%  (від  до  грн. на строк - міс.)</v>
      </c>
      <c r="AG41" s="9" t="str">
        <f t="shared" si="22"/>
        <v/>
      </c>
      <c r="AH41" s="1" t="str">
        <f t="shared" si="25"/>
        <v/>
      </c>
      <c r="AI41" s="1" t="str">
        <f t="shared" si="26"/>
        <v/>
      </c>
      <c r="AJ41" s="1" t="str">
        <f t="shared" si="27"/>
        <v/>
      </c>
      <c r="AK41" s="1" t="str">
        <f t="shared" si="28"/>
        <v/>
      </c>
      <c r="AL41" s="1" t="str">
        <f t="shared" si="29"/>
        <v/>
      </c>
      <c r="AM41" s="1" t="str">
        <f t="shared" si="30"/>
        <v/>
      </c>
      <c r="AN41" s="1" t="str">
        <f t="shared" si="31"/>
        <v/>
      </c>
      <c r="AO41" s="1" t="str">
        <f t="shared" si="32"/>
        <v/>
      </c>
      <c r="AP41" s="1" t="str">
        <f t="shared" si="33"/>
        <v/>
      </c>
      <c r="AQ41" s="1" t="str">
        <f t="shared" si="34"/>
        <v/>
      </c>
      <c r="AR41" s="1" t="str">
        <f t="shared" si="35"/>
        <v/>
      </c>
      <c r="AS41" s="1" t="str">
        <f t="shared" si="36"/>
        <v/>
      </c>
      <c r="AT41" s="1" t="str">
        <f t="shared" si="37"/>
        <v/>
      </c>
      <c r="AU41" s="1" t="str">
        <f t="shared" si="38"/>
        <v/>
      </c>
      <c r="AV41" s="1" t="str">
        <f t="shared" si="39"/>
        <v/>
      </c>
      <c r="AW41" s="1" t="str">
        <f t="shared" si="40"/>
        <v/>
      </c>
      <c r="AX41" s="1" t="str">
        <f t="shared" si="41"/>
        <v/>
      </c>
      <c r="AY41" s="1" t="str">
        <f t="shared" si="42"/>
        <v/>
      </c>
    </row>
    <row r="42" spans="6:51" x14ac:dyDescent="0.2">
      <c r="F42">
        <v>40</v>
      </c>
      <c r="I42" s="65"/>
      <c r="J42" s="70"/>
      <c r="K42" s="70"/>
      <c r="L42" s="70"/>
      <c r="M42" s="70"/>
      <c r="N42" s="70"/>
      <c r="O42" s="70"/>
      <c r="P42" s="70"/>
      <c r="Q42" s="70"/>
      <c r="R42" s="70"/>
      <c r="S42" s="70"/>
      <c r="T42" s="70"/>
      <c r="U42" s="70"/>
      <c r="V42" s="70"/>
      <c r="W42" s="70"/>
      <c r="X42" s="70"/>
      <c r="Y42" s="70"/>
      <c r="Z42" s="72"/>
      <c r="AA42" s="72"/>
      <c r="AB42" s="72"/>
      <c r="AD42">
        <v>40</v>
      </c>
      <c r="AE42" s="9">
        <f t="shared" si="23"/>
        <v>0</v>
      </c>
      <c r="AF42" s="9" t="str">
        <f t="shared" si="24"/>
        <v>0%  (від  до  грн. на строк - міс.)</v>
      </c>
      <c r="AG42" s="9" t="str">
        <f t="shared" si="22"/>
        <v/>
      </c>
      <c r="AH42" s="1" t="str">
        <f t="shared" si="25"/>
        <v/>
      </c>
      <c r="AI42" s="1" t="str">
        <f t="shared" si="26"/>
        <v/>
      </c>
      <c r="AJ42" s="1" t="str">
        <f t="shared" si="27"/>
        <v/>
      </c>
      <c r="AK42" s="1" t="str">
        <f t="shared" si="28"/>
        <v/>
      </c>
      <c r="AL42" s="1" t="str">
        <f t="shared" si="29"/>
        <v/>
      </c>
      <c r="AM42" s="1" t="str">
        <f t="shared" si="30"/>
        <v/>
      </c>
      <c r="AN42" s="1" t="str">
        <f t="shared" si="31"/>
        <v/>
      </c>
      <c r="AO42" s="1" t="str">
        <f t="shared" si="32"/>
        <v/>
      </c>
      <c r="AP42" s="1" t="str">
        <f t="shared" si="33"/>
        <v/>
      </c>
      <c r="AQ42" s="1" t="str">
        <f t="shared" si="34"/>
        <v/>
      </c>
      <c r="AR42" s="1" t="str">
        <f t="shared" si="35"/>
        <v/>
      </c>
      <c r="AS42" s="1" t="str">
        <f t="shared" si="36"/>
        <v/>
      </c>
      <c r="AT42" s="1" t="str">
        <f t="shared" si="37"/>
        <v/>
      </c>
      <c r="AU42" s="1" t="str">
        <f t="shared" si="38"/>
        <v/>
      </c>
      <c r="AV42" s="1" t="str">
        <f t="shared" si="39"/>
        <v/>
      </c>
      <c r="AW42" s="1" t="str">
        <f t="shared" si="40"/>
        <v/>
      </c>
      <c r="AX42" s="1" t="str">
        <f t="shared" si="41"/>
        <v/>
      </c>
      <c r="AY42" s="1" t="str">
        <f t="shared" si="42"/>
        <v/>
      </c>
    </row>
    <row r="43" spans="6:51" x14ac:dyDescent="0.2">
      <c r="F43">
        <v>41</v>
      </c>
      <c r="I43" s="65"/>
      <c r="J43" s="70"/>
      <c r="K43" s="70"/>
      <c r="L43" s="70"/>
      <c r="M43" s="70"/>
      <c r="N43" s="70"/>
      <c r="O43" s="70"/>
      <c r="P43" s="70"/>
      <c r="Q43" s="70"/>
      <c r="R43" s="70"/>
      <c r="S43" s="70"/>
      <c r="T43" s="70"/>
      <c r="U43" s="70"/>
      <c r="V43" s="70"/>
      <c r="W43" s="70"/>
      <c r="X43" s="70"/>
      <c r="Y43" s="70"/>
      <c r="Z43" s="72"/>
      <c r="AA43" s="72"/>
      <c r="AB43" s="72"/>
      <c r="AD43">
        <v>41</v>
      </c>
      <c r="AE43" s="9">
        <f t="shared" si="23"/>
        <v>0</v>
      </c>
      <c r="AF43" s="9" t="str">
        <f t="shared" si="24"/>
        <v>0%  (від  до  грн. на строк - міс.)</v>
      </c>
      <c r="AG43" s="9" t="str">
        <f t="shared" si="22"/>
        <v/>
      </c>
      <c r="AH43" s="1" t="str">
        <f t="shared" si="25"/>
        <v/>
      </c>
      <c r="AI43" s="1" t="str">
        <f t="shared" si="26"/>
        <v/>
      </c>
      <c r="AJ43" s="1" t="str">
        <f t="shared" si="27"/>
        <v/>
      </c>
      <c r="AK43" s="1" t="str">
        <f t="shared" si="28"/>
        <v/>
      </c>
      <c r="AL43" s="1" t="str">
        <f t="shared" si="29"/>
        <v/>
      </c>
      <c r="AM43" s="1" t="str">
        <f t="shared" si="30"/>
        <v/>
      </c>
      <c r="AN43" s="1" t="str">
        <f t="shared" si="31"/>
        <v/>
      </c>
      <c r="AO43" s="1" t="str">
        <f t="shared" si="32"/>
        <v/>
      </c>
      <c r="AP43" s="1" t="str">
        <f t="shared" si="33"/>
        <v/>
      </c>
      <c r="AQ43" s="1" t="str">
        <f t="shared" si="34"/>
        <v/>
      </c>
      <c r="AR43" s="1" t="str">
        <f t="shared" si="35"/>
        <v/>
      </c>
      <c r="AS43" s="1" t="str">
        <f t="shared" si="36"/>
        <v/>
      </c>
      <c r="AT43" s="1" t="str">
        <f t="shared" si="37"/>
        <v/>
      </c>
      <c r="AU43" s="1" t="str">
        <f t="shared" si="38"/>
        <v/>
      </c>
      <c r="AV43" s="1" t="str">
        <f t="shared" si="39"/>
        <v/>
      </c>
      <c r="AW43" s="1" t="str">
        <f t="shared" si="40"/>
        <v/>
      </c>
      <c r="AX43" s="1" t="str">
        <f t="shared" si="41"/>
        <v/>
      </c>
      <c r="AY43" s="1" t="str">
        <f t="shared" si="42"/>
        <v/>
      </c>
    </row>
    <row r="44" spans="6:51" x14ac:dyDescent="0.2">
      <c r="F44">
        <v>42</v>
      </c>
      <c r="I44" s="65"/>
      <c r="J44" s="70"/>
      <c r="K44" s="70"/>
      <c r="L44" s="70"/>
      <c r="M44" s="70"/>
      <c r="N44" s="70"/>
      <c r="O44" s="70"/>
      <c r="P44" s="70"/>
      <c r="Q44" s="70"/>
      <c r="R44" s="70"/>
      <c r="S44" s="70"/>
      <c r="T44" s="70"/>
      <c r="U44" s="70"/>
      <c r="V44" s="70"/>
      <c r="W44" s="70"/>
      <c r="X44" s="70"/>
      <c r="Y44" s="70"/>
      <c r="Z44" s="72"/>
      <c r="AA44" s="72"/>
      <c r="AB44" s="72"/>
      <c r="AD44">
        <v>42</v>
      </c>
      <c r="AE44" s="9">
        <f t="shared" si="23"/>
        <v>0</v>
      </c>
      <c r="AF44" s="9" t="str">
        <f t="shared" si="24"/>
        <v>0%  (від  до  грн. на строк - міс.)</v>
      </c>
      <c r="AG44" s="9" t="str">
        <f t="shared" si="22"/>
        <v/>
      </c>
      <c r="AH44" s="1" t="str">
        <f t="shared" si="25"/>
        <v/>
      </c>
      <c r="AI44" s="1" t="str">
        <f t="shared" si="26"/>
        <v/>
      </c>
      <c r="AJ44" s="1" t="str">
        <f t="shared" si="27"/>
        <v/>
      </c>
      <c r="AK44" s="1" t="str">
        <f t="shared" si="28"/>
        <v/>
      </c>
      <c r="AL44" s="1" t="str">
        <f t="shared" si="29"/>
        <v/>
      </c>
      <c r="AM44" s="1" t="str">
        <f t="shared" si="30"/>
        <v/>
      </c>
      <c r="AN44" s="1" t="str">
        <f t="shared" si="31"/>
        <v/>
      </c>
      <c r="AO44" s="1" t="str">
        <f t="shared" si="32"/>
        <v/>
      </c>
      <c r="AP44" s="1" t="str">
        <f t="shared" si="33"/>
        <v/>
      </c>
      <c r="AQ44" s="1" t="str">
        <f t="shared" si="34"/>
        <v/>
      </c>
      <c r="AR44" s="1" t="str">
        <f t="shared" si="35"/>
        <v/>
      </c>
      <c r="AS44" s="1" t="str">
        <f t="shared" si="36"/>
        <v/>
      </c>
      <c r="AT44" s="1" t="str">
        <f t="shared" si="37"/>
        <v/>
      </c>
      <c r="AU44" s="1" t="str">
        <f t="shared" si="38"/>
        <v/>
      </c>
      <c r="AV44" s="1" t="str">
        <f t="shared" si="39"/>
        <v/>
      </c>
      <c r="AW44" s="1" t="str">
        <f t="shared" si="40"/>
        <v/>
      </c>
      <c r="AX44" s="1" t="str">
        <f t="shared" si="41"/>
        <v/>
      </c>
      <c r="AY44" s="1" t="str">
        <f t="shared" si="42"/>
        <v/>
      </c>
    </row>
    <row r="45" spans="6:51" x14ac:dyDescent="0.2">
      <c r="F45">
        <v>43</v>
      </c>
      <c r="I45" s="65"/>
      <c r="J45" s="70"/>
      <c r="K45" s="70"/>
      <c r="L45" s="70"/>
      <c r="M45" s="70"/>
      <c r="N45" s="70"/>
      <c r="O45" s="70"/>
      <c r="P45" s="70"/>
      <c r="Q45" s="70"/>
      <c r="R45" s="70"/>
      <c r="S45" s="70"/>
      <c r="T45" s="70"/>
      <c r="U45" s="70"/>
      <c r="V45" s="70"/>
      <c r="W45" s="70"/>
      <c r="X45" s="70"/>
      <c r="Y45" s="70"/>
      <c r="Z45" s="72"/>
      <c r="AA45" s="72"/>
      <c r="AB45" s="72"/>
      <c r="AD45">
        <v>43</v>
      </c>
      <c r="AE45" s="9">
        <f t="shared" si="23"/>
        <v>0</v>
      </c>
      <c r="AF45" s="9" t="str">
        <f t="shared" si="24"/>
        <v>0%  (від  до  грн. на строк - міс.)</v>
      </c>
      <c r="AG45" s="9" t="str">
        <f t="shared" si="22"/>
        <v/>
      </c>
      <c r="AH45" s="1" t="str">
        <f t="shared" si="25"/>
        <v/>
      </c>
      <c r="AI45" s="1" t="str">
        <f t="shared" si="26"/>
        <v/>
      </c>
      <c r="AJ45" s="1" t="str">
        <f t="shared" si="27"/>
        <v/>
      </c>
      <c r="AK45" s="1" t="str">
        <f t="shared" si="28"/>
        <v/>
      </c>
      <c r="AL45" s="1" t="str">
        <f t="shared" si="29"/>
        <v/>
      </c>
      <c r="AM45" s="1" t="str">
        <f t="shared" si="30"/>
        <v/>
      </c>
      <c r="AN45" s="1" t="str">
        <f t="shared" si="31"/>
        <v/>
      </c>
      <c r="AO45" s="1" t="str">
        <f t="shared" si="32"/>
        <v/>
      </c>
      <c r="AP45" s="1" t="str">
        <f t="shared" si="33"/>
        <v/>
      </c>
      <c r="AQ45" s="1" t="str">
        <f t="shared" si="34"/>
        <v/>
      </c>
      <c r="AR45" s="1" t="str">
        <f t="shared" si="35"/>
        <v/>
      </c>
      <c r="AS45" s="1" t="str">
        <f t="shared" si="36"/>
        <v/>
      </c>
      <c r="AT45" s="1" t="str">
        <f t="shared" si="37"/>
        <v/>
      </c>
      <c r="AU45" s="1" t="str">
        <f t="shared" si="38"/>
        <v/>
      </c>
      <c r="AV45" s="1" t="str">
        <f t="shared" si="39"/>
        <v/>
      </c>
      <c r="AW45" s="1" t="str">
        <f t="shared" si="40"/>
        <v/>
      </c>
      <c r="AX45" s="1" t="str">
        <f t="shared" si="41"/>
        <v/>
      </c>
      <c r="AY45" s="1" t="str">
        <f t="shared" si="42"/>
        <v/>
      </c>
    </row>
    <row r="46" spans="6:51" x14ac:dyDescent="0.2">
      <c r="F46">
        <v>44</v>
      </c>
      <c r="I46" s="65"/>
      <c r="J46" s="70"/>
      <c r="K46" s="70"/>
      <c r="L46" s="70"/>
      <c r="M46" s="70"/>
      <c r="N46" s="70"/>
      <c r="O46" s="70"/>
      <c r="P46" s="70"/>
      <c r="Q46" s="70"/>
      <c r="R46" s="70"/>
      <c r="S46" s="70"/>
      <c r="T46" s="70"/>
      <c r="U46" s="70"/>
      <c r="V46" s="70"/>
      <c r="W46" s="70"/>
      <c r="X46" s="70"/>
      <c r="Y46" s="70"/>
      <c r="Z46" s="72"/>
      <c r="AA46" s="72"/>
      <c r="AB46" s="72"/>
      <c r="AD46">
        <v>44</v>
      </c>
      <c r="AE46" s="9">
        <f t="shared" si="23"/>
        <v>0</v>
      </c>
      <c r="AF46" s="9" t="str">
        <f t="shared" si="24"/>
        <v>0%  (від  до  грн. на строк - міс.)</v>
      </c>
      <c r="AG46" s="9" t="str">
        <f t="shared" si="22"/>
        <v/>
      </c>
      <c r="AH46" s="1" t="str">
        <f t="shared" si="25"/>
        <v/>
      </c>
      <c r="AI46" s="1" t="str">
        <f t="shared" si="26"/>
        <v/>
      </c>
      <c r="AJ46" s="1" t="str">
        <f t="shared" si="27"/>
        <v/>
      </c>
      <c r="AK46" s="1" t="str">
        <f t="shared" si="28"/>
        <v/>
      </c>
      <c r="AL46" s="1" t="str">
        <f t="shared" si="29"/>
        <v/>
      </c>
      <c r="AM46" s="1" t="str">
        <f t="shared" si="30"/>
        <v/>
      </c>
      <c r="AN46" s="1" t="str">
        <f t="shared" si="31"/>
        <v/>
      </c>
      <c r="AO46" s="1" t="str">
        <f t="shared" si="32"/>
        <v/>
      </c>
      <c r="AP46" s="1" t="str">
        <f t="shared" si="33"/>
        <v/>
      </c>
      <c r="AQ46" s="1" t="str">
        <f t="shared" si="34"/>
        <v/>
      </c>
      <c r="AR46" s="1" t="str">
        <f t="shared" si="35"/>
        <v/>
      </c>
      <c r="AS46" s="1" t="str">
        <f t="shared" si="36"/>
        <v/>
      </c>
      <c r="AT46" s="1" t="str">
        <f t="shared" si="37"/>
        <v/>
      </c>
      <c r="AU46" s="1" t="str">
        <f t="shared" si="38"/>
        <v/>
      </c>
      <c r="AV46" s="1" t="str">
        <f t="shared" si="39"/>
        <v/>
      </c>
      <c r="AW46" s="1" t="str">
        <f t="shared" si="40"/>
        <v/>
      </c>
      <c r="AX46" s="1" t="str">
        <f t="shared" si="41"/>
        <v/>
      </c>
      <c r="AY46" s="1" t="str">
        <f t="shared" si="42"/>
        <v/>
      </c>
    </row>
    <row r="47" spans="6:51" x14ac:dyDescent="0.2">
      <c r="F47">
        <v>45</v>
      </c>
      <c r="I47" s="65"/>
      <c r="J47" s="70"/>
      <c r="K47" s="70"/>
      <c r="L47" s="70"/>
      <c r="M47" s="70"/>
      <c r="N47" s="70"/>
      <c r="O47" s="70"/>
      <c r="P47" s="70"/>
      <c r="Q47" s="70"/>
      <c r="R47" s="70"/>
      <c r="S47" s="70"/>
      <c r="T47" s="70"/>
      <c r="U47" s="70"/>
      <c r="V47" s="70"/>
      <c r="W47" s="70"/>
      <c r="X47" s="70"/>
      <c r="Y47" s="70"/>
      <c r="Z47" s="72"/>
      <c r="AA47" s="72"/>
      <c r="AB47" s="72"/>
      <c r="AD47">
        <v>45</v>
      </c>
      <c r="AE47" s="9">
        <f t="shared" si="23"/>
        <v>0</v>
      </c>
      <c r="AF47" s="9" t="str">
        <f t="shared" si="24"/>
        <v>0%  (від  до  грн. на строк - міс.)</v>
      </c>
      <c r="AG47" s="9" t="str">
        <f t="shared" si="22"/>
        <v/>
      </c>
      <c r="AH47" s="1" t="str">
        <f t="shared" si="25"/>
        <v/>
      </c>
      <c r="AI47" s="1" t="str">
        <f t="shared" si="26"/>
        <v/>
      </c>
      <c r="AJ47" s="1" t="str">
        <f t="shared" si="27"/>
        <v/>
      </c>
      <c r="AK47" s="1" t="str">
        <f t="shared" si="28"/>
        <v/>
      </c>
      <c r="AL47" s="1" t="str">
        <f t="shared" si="29"/>
        <v/>
      </c>
      <c r="AM47" s="1" t="str">
        <f t="shared" si="30"/>
        <v/>
      </c>
      <c r="AN47" s="1" t="str">
        <f t="shared" si="31"/>
        <v/>
      </c>
      <c r="AO47" s="1" t="str">
        <f t="shared" si="32"/>
        <v/>
      </c>
      <c r="AP47" s="1" t="str">
        <f t="shared" si="33"/>
        <v/>
      </c>
      <c r="AQ47" s="1" t="str">
        <f t="shared" si="34"/>
        <v/>
      </c>
      <c r="AR47" s="1" t="str">
        <f t="shared" si="35"/>
        <v/>
      </c>
      <c r="AS47" s="1" t="str">
        <f t="shared" si="36"/>
        <v/>
      </c>
      <c r="AT47" s="1" t="str">
        <f t="shared" si="37"/>
        <v/>
      </c>
      <c r="AU47" s="1" t="str">
        <f t="shared" si="38"/>
        <v/>
      </c>
      <c r="AV47" s="1" t="str">
        <f t="shared" si="39"/>
        <v/>
      </c>
      <c r="AW47" s="1" t="str">
        <f t="shared" si="40"/>
        <v/>
      </c>
      <c r="AX47" s="1" t="str">
        <f t="shared" si="41"/>
        <v/>
      </c>
      <c r="AY47" s="1" t="str">
        <f t="shared" si="42"/>
        <v/>
      </c>
    </row>
    <row r="48" spans="6:51" x14ac:dyDescent="0.2">
      <c r="F48">
        <v>46</v>
      </c>
      <c r="I48" s="65"/>
      <c r="J48" s="70"/>
      <c r="K48" s="70"/>
      <c r="L48" s="70"/>
      <c r="M48" s="70"/>
      <c r="N48" s="70"/>
      <c r="O48" s="70"/>
      <c r="P48" s="70"/>
      <c r="Q48" s="70"/>
      <c r="R48" s="70"/>
      <c r="S48" s="70"/>
      <c r="T48" s="70"/>
      <c r="U48" s="70"/>
      <c r="V48" s="70"/>
      <c r="W48" s="70"/>
      <c r="X48" s="70"/>
      <c r="Y48" s="70"/>
      <c r="Z48" s="72"/>
      <c r="AA48" s="72"/>
      <c r="AB48" s="72"/>
      <c r="AD48">
        <v>46</v>
      </c>
      <c r="AE48" s="9">
        <f t="shared" si="23"/>
        <v>0</v>
      </c>
      <c r="AF48" s="9" t="str">
        <f t="shared" si="24"/>
        <v>0%  (від  до  грн. на строк - міс.)</v>
      </c>
      <c r="AG48" s="9" t="str">
        <f t="shared" si="22"/>
        <v/>
      </c>
      <c r="AH48" s="1" t="str">
        <f t="shared" si="25"/>
        <v/>
      </c>
      <c r="AI48" s="1" t="str">
        <f t="shared" si="26"/>
        <v/>
      </c>
      <c r="AJ48" s="1" t="str">
        <f t="shared" si="27"/>
        <v/>
      </c>
      <c r="AK48" s="1" t="str">
        <f t="shared" si="28"/>
        <v/>
      </c>
      <c r="AL48" s="1" t="str">
        <f t="shared" si="29"/>
        <v/>
      </c>
      <c r="AM48" s="1" t="str">
        <f t="shared" si="30"/>
        <v/>
      </c>
      <c r="AN48" s="1" t="str">
        <f t="shared" si="31"/>
        <v/>
      </c>
      <c r="AO48" s="1" t="str">
        <f t="shared" si="32"/>
        <v/>
      </c>
      <c r="AP48" s="1" t="str">
        <f t="shared" si="33"/>
        <v/>
      </c>
      <c r="AQ48" s="1" t="str">
        <f t="shared" si="34"/>
        <v/>
      </c>
      <c r="AR48" s="1" t="str">
        <f t="shared" si="35"/>
        <v/>
      </c>
      <c r="AS48" s="1" t="str">
        <f t="shared" si="36"/>
        <v/>
      </c>
      <c r="AT48" s="1" t="str">
        <f t="shared" si="37"/>
        <v/>
      </c>
      <c r="AU48" s="1" t="str">
        <f t="shared" si="38"/>
        <v/>
      </c>
      <c r="AV48" s="1" t="str">
        <f t="shared" si="39"/>
        <v/>
      </c>
      <c r="AW48" s="1" t="str">
        <f t="shared" si="40"/>
        <v/>
      </c>
      <c r="AX48" s="1" t="str">
        <f t="shared" si="41"/>
        <v/>
      </c>
      <c r="AY48" s="1" t="str">
        <f t="shared" si="42"/>
        <v/>
      </c>
    </row>
    <row r="49" spans="6:51" x14ac:dyDescent="0.2">
      <c r="F49">
        <v>47</v>
      </c>
      <c r="I49" s="65"/>
      <c r="J49" s="70"/>
      <c r="K49" s="70"/>
      <c r="L49" s="70"/>
      <c r="M49" s="70"/>
      <c r="N49" s="70"/>
      <c r="O49" s="70"/>
      <c r="P49" s="70"/>
      <c r="Q49" s="70"/>
      <c r="R49" s="70"/>
      <c r="S49" s="70"/>
      <c r="T49" s="70"/>
      <c r="U49" s="70"/>
      <c r="V49" s="70"/>
      <c r="W49" s="70"/>
      <c r="X49" s="70"/>
      <c r="Y49" s="70"/>
      <c r="Z49" s="72"/>
      <c r="AA49" s="72"/>
      <c r="AB49" s="72"/>
      <c r="AD49">
        <v>47</v>
      </c>
      <c r="AE49" s="9">
        <f t="shared" si="23"/>
        <v>0</v>
      </c>
      <c r="AF49" s="9" t="str">
        <f t="shared" si="24"/>
        <v>0%  (від  до  грн. на строк - міс.)</v>
      </c>
      <c r="AG49" s="9" t="str">
        <f t="shared" si="22"/>
        <v/>
      </c>
      <c r="AH49" s="1" t="str">
        <f t="shared" si="25"/>
        <v/>
      </c>
      <c r="AI49" s="1" t="str">
        <f t="shared" si="26"/>
        <v/>
      </c>
      <c r="AJ49" s="1" t="str">
        <f t="shared" si="27"/>
        <v/>
      </c>
      <c r="AK49" s="1" t="str">
        <f t="shared" si="28"/>
        <v/>
      </c>
      <c r="AL49" s="1" t="str">
        <f t="shared" si="29"/>
        <v/>
      </c>
      <c r="AM49" s="1" t="str">
        <f t="shared" si="30"/>
        <v/>
      </c>
      <c r="AN49" s="1" t="str">
        <f t="shared" si="31"/>
        <v/>
      </c>
      <c r="AO49" s="1" t="str">
        <f t="shared" si="32"/>
        <v/>
      </c>
      <c r="AP49" s="1" t="str">
        <f t="shared" si="33"/>
        <v/>
      </c>
      <c r="AQ49" s="1" t="str">
        <f t="shared" si="34"/>
        <v/>
      </c>
      <c r="AR49" s="1" t="str">
        <f t="shared" si="35"/>
        <v/>
      </c>
      <c r="AS49" s="1" t="str">
        <f t="shared" si="36"/>
        <v/>
      </c>
      <c r="AT49" s="1" t="str">
        <f t="shared" si="37"/>
        <v/>
      </c>
      <c r="AU49" s="1" t="str">
        <f t="shared" si="38"/>
        <v/>
      </c>
      <c r="AV49" s="1" t="str">
        <f t="shared" si="39"/>
        <v/>
      </c>
      <c r="AW49" s="1" t="str">
        <f t="shared" si="40"/>
        <v/>
      </c>
      <c r="AX49" s="1" t="str">
        <f t="shared" si="41"/>
        <v/>
      </c>
      <c r="AY49" s="1" t="str">
        <f t="shared" si="42"/>
        <v/>
      </c>
    </row>
    <row r="50" spans="6:51" x14ac:dyDescent="0.2">
      <c r="F50">
        <v>48</v>
      </c>
      <c r="I50" s="65"/>
      <c r="J50" s="70"/>
      <c r="K50" s="70"/>
      <c r="L50" s="70"/>
      <c r="M50" s="70"/>
      <c r="N50" s="70"/>
      <c r="O50" s="70"/>
      <c r="P50" s="70"/>
      <c r="Q50" s="70"/>
      <c r="R50" s="70"/>
      <c r="S50" s="70"/>
      <c r="T50" s="70"/>
      <c r="U50" s="70"/>
      <c r="V50" s="70"/>
      <c r="W50" s="70"/>
      <c r="X50" s="70"/>
      <c r="Y50" s="70"/>
      <c r="Z50" s="72"/>
      <c r="AA50" s="72"/>
      <c r="AB50" s="72"/>
      <c r="AD50">
        <v>48</v>
      </c>
      <c r="AE50" s="9">
        <f t="shared" si="23"/>
        <v>0</v>
      </c>
      <c r="AF50" s="9" t="str">
        <f t="shared" si="24"/>
        <v>0%  (від  до  грн. на строк - міс.)</v>
      </c>
      <c r="AG50" s="9" t="str">
        <f t="shared" si="22"/>
        <v/>
      </c>
      <c r="AH50" s="1" t="str">
        <f t="shared" si="25"/>
        <v/>
      </c>
      <c r="AI50" s="1" t="str">
        <f t="shared" si="26"/>
        <v/>
      </c>
      <c r="AJ50" s="1" t="str">
        <f t="shared" si="27"/>
        <v/>
      </c>
      <c r="AK50" s="1" t="str">
        <f t="shared" si="28"/>
        <v/>
      </c>
      <c r="AL50" s="1" t="str">
        <f t="shared" si="29"/>
        <v/>
      </c>
      <c r="AM50" s="1" t="str">
        <f t="shared" si="30"/>
        <v/>
      </c>
      <c r="AN50" s="1" t="str">
        <f t="shared" si="31"/>
        <v/>
      </c>
      <c r="AO50" s="1" t="str">
        <f t="shared" si="32"/>
        <v/>
      </c>
      <c r="AP50" s="1" t="str">
        <f t="shared" si="33"/>
        <v/>
      </c>
      <c r="AQ50" s="1" t="str">
        <f t="shared" si="34"/>
        <v/>
      </c>
      <c r="AR50" s="1" t="str">
        <f t="shared" si="35"/>
        <v/>
      </c>
      <c r="AS50" s="1" t="str">
        <f t="shared" si="36"/>
        <v/>
      </c>
      <c r="AT50" s="1" t="str">
        <f t="shared" si="37"/>
        <v/>
      </c>
      <c r="AU50" s="1" t="str">
        <f t="shared" si="38"/>
        <v/>
      </c>
      <c r="AV50" s="1" t="str">
        <f t="shared" si="39"/>
        <v/>
      </c>
      <c r="AW50" s="1" t="str">
        <f t="shared" si="40"/>
        <v/>
      </c>
      <c r="AX50" s="1" t="str">
        <f t="shared" si="41"/>
        <v/>
      </c>
      <c r="AY50" s="1" t="str">
        <f t="shared" si="42"/>
        <v/>
      </c>
    </row>
    <row r="51" spans="6:51" x14ac:dyDescent="0.2">
      <c r="F51">
        <v>49</v>
      </c>
      <c r="I51" s="65"/>
      <c r="J51" s="70"/>
      <c r="K51" s="70"/>
      <c r="L51" s="70"/>
      <c r="M51" s="70"/>
      <c r="N51" s="70"/>
      <c r="O51" s="70"/>
      <c r="P51" s="70"/>
      <c r="Q51" s="70"/>
      <c r="R51" s="70"/>
      <c r="S51" s="70"/>
      <c r="T51" s="70"/>
      <c r="U51" s="70"/>
      <c r="V51" s="70"/>
      <c r="W51" s="70"/>
      <c r="X51" s="70"/>
      <c r="Y51" s="70"/>
      <c r="Z51" s="72"/>
      <c r="AA51" s="72"/>
      <c r="AB51" s="72"/>
      <c r="AG51" s="13">
        <f>SUM(AG3:AG50)</f>
        <v>0</v>
      </c>
      <c r="AH51" s="11" t="e">
        <f>VLOOKUP($AG$51,$AG3:$AY50,2,FALSE)</f>
        <v>#N/A</v>
      </c>
      <c r="AI51" s="11" t="e">
        <f>VLOOKUP($AG$51,$AG3:$AY50,3,FALSE)</f>
        <v>#N/A</v>
      </c>
      <c r="AJ51" s="11" t="e">
        <f>VLOOKUP($AG$51,$AG3:$AY50,4,FALSE)</f>
        <v>#N/A</v>
      </c>
      <c r="AK51" s="11" t="e">
        <f>VLOOKUP($AG$51,$AG3:$AY50,5,FALSE)</f>
        <v>#N/A</v>
      </c>
      <c r="AL51" s="11" t="e">
        <f>VLOOKUP($AG$51,$AG3:$AY50,6,FALSE)</f>
        <v>#N/A</v>
      </c>
      <c r="AM51" s="11" t="e">
        <f>VLOOKUP($AG$51,$AG3:$AY50,7,FALSE)</f>
        <v>#N/A</v>
      </c>
      <c r="AN51" s="11" t="e">
        <f>VLOOKUP($AG$51,$AG3:$AY50,8,FALSE)</f>
        <v>#N/A</v>
      </c>
      <c r="AO51" s="11" t="e">
        <f>VLOOKUP($AG$51,$AG3:$AY50,9,FALSE)</f>
        <v>#N/A</v>
      </c>
      <c r="AP51" s="11" t="e">
        <f>VLOOKUP($AG$51,$AG3:$AY50,10,FALSE)</f>
        <v>#N/A</v>
      </c>
      <c r="AQ51" s="11" t="e">
        <f>VLOOKUP($AG$51,$AG3:$AY50,11,FALSE)</f>
        <v>#N/A</v>
      </c>
      <c r="AR51" s="10" t="e">
        <f>VLOOKUP($AG$51,$AG3:$AY50,12,FALSE)</f>
        <v>#N/A</v>
      </c>
      <c r="AS51" s="11" t="e">
        <f>VLOOKUP($AG$51,$AG3:$AY50,13,FALSE)</f>
        <v>#N/A</v>
      </c>
      <c r="AT51" s="11" t="e">
        <f>VLOOKUP($AG$51,$AG3:$AY50,14,FALSE)</f>
        <v>#N/A</v>
      </c>
      <c r="AU51" s="11" t="e">
        <f>VLOOKUP($AG$51,$AG3:$AY50,15,FALSE)</f>
        <v>#N/A</v>
      </c>
      <c r="AV51" s="11" t="e">
        <f>VLOOKUP($AG$51,$AG3:$AY50,16,FALSE)</f>
        <v>#N/A</v>
      </c>
      <c r="AW51" s="11" t="e">
        <f>VLOOKUP($AG$51,$AG3:$AY50,17,FALSE)</f>
        <v>#N/A</v>
      </c>
      <c r="AX51" s="11" t="e">
        <f>VLOOKUP($AG$51,$AG3:$AY50,18,FALSE)</f>
        <v>#N/A</v>
      </c>
      <c r="AY51" s="11" t="e">
        <f>VLOOKUP($AG$51,$AG3:$AY50,19,FALSE)</f>
        <v>#N/A</v>
      </c>
    </row>
    <row r="52" spans="6:51" x14ac:dyDescent="0.2">
      <c r="F52">
        <v>50</v>
      </c>
      <c r="I52" s="65"/>
      <c r="J52" s="70"/>
      <c r="K52" s="70"/>
      <c r="L52" s="70"/>
      <c r="M52" s="70"/>
      <c r="N52" s="70"/>
      <c r="O52" s="70"/>
      <c r="P52" s="70"/>
      <c r="Q52" s="70"/>
      <c r="R52" s="70"/>
      <c r="S52" s="70"/>
      <c r="T52" s="70"/>
      <c r="U52" s="70"/>
      <c r="V52" s="70"/>
      <c r="W52" s="70"/>
      <c r="X52" s="70"/>
      <c r="Y52" s="70"/>
      <c r="Z52" s="72"/>
      <c r="AA52" s="72"/>
      <c r="AB52" s="72"/>
      <c r="AG52" s="12">
        <f>IF(КАЛЬКУЛЯТОР!F14,SYS!AG51+КАЛЬКУЛЯТОР!L14,IF(КАЛЬКУЛЯТОР!F15,SYS!AG51+КАЛЬКУЛЯТОР!L15,IF(КАЛЬКУЛЯТОР!F16,SYS!AG51+КАЛЬКУЛЯТОР!L16,SYS!AG51)))</f>
        <v>0</v>
      </c>
      <c r="AO52" s="8" t="str">
        <f>IFERROR(MID(AO51,FIND("*",AO51)+2,500),"")</f>
        <v/>
      </c>
      <c r="AP52" s="8" t="str">
        <f>IFERROR(MID(AP51,FIND("*",AP51)+2,500),"")</f>
        <v/>
      </c>
      <c r="AQ52" s="8" t="str">
        <f>IFERROR(MID(AQ51,FIND("*",AQ51)+2,500),"")</f>
        <v/>
      </c>
      <c r="AR52" s="8" t="str">
        <f>IFERROR(MID(AR51,FIND("*",AR51)+2,500),"")</f>
        <v/>
      </c>
      <c r="AS52" s="8" t="str">
        <f>IFERROR(MID(AS51,FIND("*",AS51)+2,500),"")</f>
        <v/>
      </c>
    </row>
    <row r="53" spans="6:51" x14ac:dyDescent="0.2">
      <c r="F53">
        <v>51</v>
      </c>
      <c r="I53" s="65"/>
      <c r="J53" s="70"/>
      <c r="K53" s="70"/>
      <c r="L53" s="70"/>
      <c r="M53" s="70"/>
      <c r="N53" s="70"/>
      <c r="O53" s="70"/>
      <c r="P53" s="70"/>
      <c r="Q53" s="70"/>
      <c r="R53" s="70"/>
      <c r="S53" s="70"/>
      <c r="T53" s="70"/>
      <c r="U53" s="70"/>
      <c r="V53" s="70"/>
      <c r="W53" s="70"/>
      <c r="X53" s="70"/>
      <c r="Y53" s="70"/>
      <c r="Z53" s="72"/>
      <c r="AA53" s="72"/>
      <c r="AB53" s="72"/>
      <c r="AO53" s="61">
        <f>IFERROR(MID(AO51,1,FIND("*",AO51)-1)*1,0)</f>
        <v>0</v>
      </c>
      <c r="AP53" s="61">
        <f>IFERROR(MID(AP51,1,FIND("*",AP51)-1)*1,0)</f>
        <v>0</v>
      </c>
      <c r="AQ53" s="12">
        <f>IFERROR(MID(AQ51,1,FIND("*",AQ51)-1)*1,0)</f>
        <v>0</v>
      </c>
      <c r="AR53" s="12">
        <f>IFERROR(MID(AR51,1,FIND("*",AR51)-1)*1,0)</f>
        <v>0</v>
      </c>
      <c r="AS53" s="12">
        <f>IFERROR(MID(AS51,1,FIND("*",AS51)-1)*1,0)</f>
        <v>0</v>
      </c>
    </row>
    <row r="54" spans="6:51" x14ac:dyDescent="0.2">
      <c r="F54">
        <v>52</v>
      </c>
      <c r="I54" s="65"/>
      <c r="J54" s="70"/>
      <c r="K54" s="70"/>
      <c r="L54" s="70"/>
      <c r="M54" s="70"/>
      <c r="N54" s="70"/>
      <c r="O54" s="70"/>
      <c r="P54" s="70"/>
      <c r="Q54" s="70"/>
      <c r="R54" s="70"/>
      <c r="S54" s="70"/>
      <c r="T54" s="70"/>
      <c r="U54" s="70"/>
      <c r="V54" s="70"/>
      <c r="W54" s="70"/>
      <c r="X54" s="70"/>
      <c r="Y54" s="70"/>
      <c r="Z54" s="72"/>
      <c r="AA54" s="72"/>
      <c r="AB54" s="72"/>
    </row>
    <row r="55" spans="6:51" x14ac:dyDescent="0.2">
      <c r="F55">
        <v>53</v>
      </c>
      <c r="I55" s="65"/>
      <c r="J55" s="70"/>
      <c r="K55" s="70"/>
      <c r="L55" s="70"/>
      <c r="M55" s="70"/>
      <c r="N55" s="70"/>
      <c r="O55" s="70"/>
      <c r="P55" s="70"/>
      <c r="Q55" s="70"/>
      <c r="R55" s="70"/>
      <c r="S55" s="70"/>
      <c r="T55" s="70"/>
      <c r="U55" s="70"/>
      <c r="V55" s="70"/>
      <c r="W55" s="70"/>
      <c r="X55" s="70"/>
      <c r="Y55" s="70"/>
      <c r="Z55" s="72"/>
      <c r="AA55" s="72"/>
      <c r="AB55" s="72"/>
    </row>
    <row r="56" spans="6:51" x14ac:dyDescent="0.2">
      <c r="F56">
        <v>54</v>
      </c>
      <c r="I56" s="65"/>
      <c r="J56" s="70"/>
      <c r="K56" s="70"/>
      <c r="L56" s="70"/>
      <c r="M56" s="70"/>
      <c r="N56" s="70"/>
      <c r="O56" s="70"/>
      <c r="P56" s="70"/>
      <c r="Q56" s="70"/>
      <c r="R56" s="70"/>
      <c r="S56" s="70"/>
      <c r="T56" s="70"/>
      <c r="U56" s="70"/>
      <c r="V56" s="70"/>
      <c r="W56" s="70"/>
      <c r="X56" s="70"/>
      <c r="Y56" s="70"/>
      <c r="Z56" s="72"/>
      <c r="AA56" s="72"/>
      <c r="AB56" s="72"/>
    </row>
    <row r="57" spans="6:51" x14ac:dyDescent="0.2">
      <c r="F57">
        <v>55</v>
      </c>
      <c r="I57" s="65"/>
      <c r="J57" s="70"/>
      <c r="K57" s="70"/>
      <c r="L57" s="70"/>
      <c r="M57" s="70"/>
      <c r="N57" s="70"/>
      <c r="O57" s="70"/>
      <c r="P57" s="70"/>
      <c r="Q57" s="70"/>
      <c r="R57" s="70"/>
      <c r="S57" s="70"/>
      <c r="T57" s="70"/>
      <c r="U57" s="70"/>
      <c r="V57" s="70"/>
      <c r="W57" s="70"/>
      <c r="X57" s="70"/>
      <c r="Y57" s="70"/>
      <c r="Z57" s="72"/>
      <c r="AA57" s="72"/>
      <c r="AB57" s="72"/>
    </row>
    <row r="58" spans="6:51" x14ac:dyDescent="0.2">
      <c r="F58">
        <v>56</v>
      </c>
      <c r="I58" s="65"/>
      <c r="J58" s="70"/>
      <c r="K58" s="70"/>
      <c r="L58" s="70"/>
      <c r="M58" s="70"/>
      <c r="N58" s="70"/>
      <c r="O58" s="70"/>
      <c r="P58" s="70"/>
      <c r="Q58" s="70"/>
      <c r="R58" s="70"/>
      <c r="S58" s="70"/>
      <c r="T58" s="70"/>
      <c r="U58" s="70"/>
      <c r="V58" s="70"/>
      <c r="W58" s="70"/>
      <c r="X58" s="70"/>
      <c r="Y58" s="70"/>
      <c r="Z58" s="72"/>
      <c r="AA58" s="72"/>
      <c r="AB58" s="72"/>
    </row>
    <row r="59" spans="6:51" x14ac:dyDescent="0.2">
      <c r="F59">
        <v>57</v>
      </c>
      <c r="I59" s="14"/>
      <c r="J59" s="15"/>
      <c r="K59" s="15"/>
      <c r="L59" s="15"/>
      <c r="M59" s="15"/>
      <c r="N59" s="15"/>
      <c r="O59" s="15"/>
      <c r="P59" s="15"/>
      <c r="Q59" s="15"/>
      <c r="R59" s="15"/>
      <c r="S59" s="15"/>
      <c r="T59" s="15"/>
      <c r="U59" s="15"/>
      <c r="V59" s="15"/>
      <c r="W59" s="15"/>
      <c r="X59" s="15"/>
      <c r="Y59" s="15"/>
    </row>
    <row r="60" spans="6:51" x14ac:dyDescent="0.2">
      <c r="F60">
        <v>58</v>
      </c>
      <c r="I60" s="14"/>
      <c r="J60" s="15"/>
      <c r="K60" s="15"/>
      <c r="L60" s="15"/>
      <c r="M60" s="15"/>
      <c r="N60" s="15"/>
      <c r="O60" s="15"/>
      <c r="P60" s="15"/>
      <c r="Q60" s="15"/>
      <c r="R60" s="15"/>
      <c r="S60" s="15"/>
      <c r="T60" s="15"/>
      <c r="U60" s="15"/>
      <c r="V60" s="15"/>
      <c r="W60" s="15"/>
      <c r="X60" s="15"/>
      <c r="Y60" s="15"/>
    </row>
    <row r="61" spans="6:51" x14ac:dyDescent="0.2">
      <c r="F61">
        <v>59</v>
      </c>
      <c r="I61" s="14"/>
      <c r="J61" s="15"/>
      <c r="K61" s="15"/>
      <c r="L61" s="15"/>
      <c r="M61" s="15"/>
      <c r="N61" s="15"/>
      <c r="O61" s="15"/>
      <c r="P61" s="15"/>
      <c r="Q61" s="15"/>
      <c r="R61" s="15"/>
      <c r="S61" s="15"/>
      <c r="T61" s="15"/>
      <c r="U61" s="15"/>
      <c r="V61" s="15"/>
      <c r="W61" s="15"/>
      <c r="X61" s="15"/>
      <c r="Y61" s="15"/>
    </row>
    <row r="62" spans="6:51" x14ac:dyDescent="0.2">
      <c r="F62">
        <v>60</v>
      </c>
      <c r="I62" s="14"/>
      <c r="J62" s="15"/>
      <c r="K62" s="15"/>
      <c r="L62" s="15"/>
      <c r="M62" s="15"/>
      <c r="N62" s="15"/>
      <c r="O62" s="15"/>
      <c r="P62" s="15"/>
      <c r="Q62" s="15"/>
      <c r="R62" s="15"/>
      <c r="S62" s="15"/>
      <c r="T62" s="15"/>
      <c r="U62" s="15"/>
      <c r="V62" s="15"/>
      <c r="W62" s="15"/>
      <c r="X62" s="15"/>
      <c r="Y62" s="15"/>
    </row>
  </sheetData>
  <sheetProtection algorithmName="SHA-512" hashValue="7XVJjcYG5ftP67VmSRrXSo4nMmEw1ADqdQmrq82rPOywhUlO9m5yUhVCgEkvxXwhyz4MhF7S6R2T6803egfo7A==" saltValue="PlBeAikk8dPXTM5rCZUm6Q==" spinCount="100000" sheet="1" selectLockedCells="1" selectUnlockedCells="1"/>
  <customSheetViews>
    <customSheetView guid="{4A3E60B2-3A41-4B7A-A9CB-F5CAF3E3C1DF}" topLeftCell="J1">
      <selection activeCell="U29" sqref="U29"/>
      <pageMargins left="0.7" right="0.7" top="0.75" bottom="0.75" header="0.3" footer="0.3"/>
      <pageSetup paperSize="9" orientation="portrait" horizontalDpi="0" verticalDpi="0" r:id="rId1"/>
    </customSheetView>
  </customSheetViews>
  <dataValidations count="2">
    <dataValidation type="list" allowBlank="1" showInputMessage="1" showErrorMessage="1" sqref="Y3:Y50" xr:uid="{00000000-0002-0000-0100-000000000000}">
      <formula1>$A$2:$A$5</formula1>
    </dataValidation>
    <dataValidation type="list" allowBlank="1" showInputMessage="1" showErrorMessage="1" sqref="X3:X62" xr:uid="{00000000-0002-0000-0100-000001000000}">
      <formula1>$B$2:$B$8</formula1>
    </dataValidation>
  </dataValidation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КАЛЬКУЛЯТОР</vt:lpstr>
      <vt:lpstr>SYS</vt:lpstr>
      <vt:lpstr>КАЛЬКУЛЯТОР!Область_друку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VVO</dc:creator>
  <cp:lastModifiedBy>Юлія</cp:lastModifiedBy>
  <dcterms:created xsi:type="dcterms:W3CDTF">2025-04-02T14:25:44Z</dcterms:created>
  <dcterms:modified xsi:type="dcterms:W3CDTF">2026-06-23T08:18:01Z</dcterms:modified>
</cp:coreProperties>
</file>